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ems_D\BFD\Report to OCA_moved_20230821_kmc\Utility Consumption Report\"/>
    </mc:Choice>
  </mc:AlternateContent>
  <xr:revisionPtr revIDLastSave="0" documentId="13_ncr:1_{420EE3EB-5005-4F57-8DD9-15356CC1ACA3}" xr6:coauthVersionLast="47" xr6:coauthVersionMax="47" xr10:uidLastSave="{00000000-0000-0000-0000-000000000000}"/>
  <bookViews>
    <workbookView xWindow="-120" yWindow="-120" windowWidth="29040" windowHeight="15840" tabRatio="585" xr2:uid="{00000000-000D-0000-FFFF-FFFF00000000}"/>
  </bookViews>
  <sheets>
    <sheet name="Sheet1" sheetId="1" r:id="rId1"/>
  </sheets>
  <definedNames>
    <definedName name="_xlnm.Print_Area" localSheetId="0">Sheet1!$A$1:$N$360</definedName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9" i="1" l="1"/>
  <c r="D359" i="1"/>
  <c r="D358" i="1"/>
  <c r="C358" i="1"/>
  <c r="I357" i="1"/>
  <c r="H357" i="1"/>
  <c r="C357" i="1"/>
  <c r="D357" i="1"/>
  <c r="D356" i="1"/>
  <c r="C356" i="1"/>
  <c r="I355" i="1"/>
  <c r="H355" i="1"/>
  <c r="K355" i="1" s="1"/>
  <c r="I356" i="1"/>
  <c r="H356" i="1"/>
  <c r="D355" i="1"/>
  <c r="C355" i="1"/>
  <c r="I354" i="1"/>
  <c r="H354" i="1"/>
  <c r="D354" i="1"/>
  <c r="C354" i="1"/>
  <c r="D353" i="1" l="1"/>
  <c r="C353" i="1"/>
  <c r="D352" i="1"/>
  <c r="I353" i="1"/>
  <c r="H353" i="1"/>
  <c r="C352" i="1" l="1"/>
  <c r="D351" i="1"/>
  <c r="C351" i="1"/>
  <c r="H351" i="1"/>
  <c r="I352" i="1"/>
  <c r="H352" i="1"/>
  <c r="I351" i="1" l="1"/>
  <c r="D350" i="1"/>
  <c r="C350" i="1"/>
  <c r="C349" i="1"/>
  <c r="I350" i="1"/>
  <c r="H350" i="1"/>
  <c r="K353" i="1"/>
  <c r="I341" i="1"/>
  <c r="H341" i="1"/>
  <c r="D349" i="1"/>
  <c r="D341" i="1"/>
  <c r="C341" i="1"/>
  <c r="I349" i="1"/>
  <c r="H349" i="1"/>
  <c r="D348" i="1"/>
  <c r="C348" i="1"/>
  <c r="I348" i="1"/>
  <c r="H348" i="1"/>
  <c r="N360" i="1"/>
  <c r="M360" i="1"/>
  <c r="J360" i="1"/>
  <c r="G360" i="1"/>
  <c r="K359" i="1"/>
  <c r="E359" i="1"/>
  <c r="K358" i="1"/>
  <c r="E358" i="1"/>
  <c r="K357" i="1"/>
  <c r="E357" i="1"/>
  <c r="K356" i="1"/>
  <c r="E356" i="1"/>
  <c r="E355" i="1"/>
  <c r="K354" i="1"/>
  <c r="E354" i="1"/>
  <c r="E353" i="1"/>
  <c r="K352" i="1"/>
  <c r="E352" i="1"/>
  <c r="K351" i="1"/>
  <c r="E351" i="1"/>
  <c r="K338" i="1"/>
  <c r="K339" i="1"/>
  <c r="K340" i="1"/>
  <c r="D337" i="1"/>
  <c r="C337" i="1"/>
  <c r="I337" i="1"/>
  <c r="H336" i="1"/>
  <c r="H337" i="1"/>
  <c r="C336" i="1"/>
  <c r="D336" i="1"/>
  <c r="J333" i="1"/>
  <c r="J342" i="1" s="1"/>
  <c r="I333" i="1"/>
  <c r="H333" i="1"/>
  <c r="C334" i="1"/>
  <c r="D335" i="1"/>
  <c r="C335" i="1"/>
  <c r="I336" i="1"/>
  <c r="E6" i="1"/>
  <c r="K6" i="1"/>
  <c r="E7" i="1"/>
  <c r="K7" i="1"/>
  <c r="E8" i="1"/>
  <c r="K8" i="1"/>
  <c r="E9" i="1"/>
  <c r="K9" i="1"/>
  <c r="E10" i="1"/>
  <c r="K10" i="1"/>
  <c r="E11" i="1"/>
  <c r="K11" i="1"/>
  <c r="E12" i="1"/>
  <c r="K12" i="1"/>
  <c r="E13" i="1"/>
  <c r="K13" i="1"/>
  <c r="E14" i="1"/>
  <c r="K14" i="1"/>
  <c r="E15" i="1"/>
  <c r="K15" i="1"/>
  <c r="E16" i="1"/>
  <c r="K16" i="1"/>
  <c r="E17" i="1"/>
  <c r="K17" i="1"/>
  <c r="C18" i="1"/>
  <c r="D18" i="1"/>
  <c r="G18" i="1"/>
  <c r="H18" i="1"/>
  <c r="I18" i="1"/>
  <c r="J18" i="1"/>
  <c r="M18" i="1"/>
  <c r="N18" i="1"/>
  <c r="E24" i="1"/>
  <c r="K24" i="1"/>
  <c r="E25" i="1"/>
  <c r="K25" i="1"/>
  <c r="E26" i="1"/>
  <c r="K26" i="1"/>
  <c r="E27" i="1"/>
  <c r="K27" i="1"/>
  <c r="E28" i="1"/>
  <c r="K28" i="1"/>
  <c r="E29" i="1"/>
  <c r="K29" i="1"/>
  <c r="E30" i="1"/>
  <c r="K30" i="1"/>
  <c r="E31" i="1"/>
  <c r="K31" i="1"/>
  <c r="E32" i="1"/>
  <c r="K32" i="1"/>
  <c r="E33" i="1"/>
  <c r="K33" i="1"/>
  <c r="E34" i="1"/>
  <c r="K34" i="1"/>
  <c r="E35" i="1"/>
  <c r="K35" i="1"/>
  <c r="C36" i="1"/>
  <c r="D36" i="1"/>
  <c r="G36" i="1"/>
  <c r="H36" i="1"/>
  <c r="I36" i="1"/>
  <c r="J36" i="1"/>
  <c r="M36" i="1"/>
  <c r="N36" i="1"/>
  <c r="E42" i="1"/>
  <c r="K42" i="1"/>
  <c r="E43" i="1"/>
  <c r="K43" i="1"/>
  <c r="E44" i="1"/>
  <c r="K44" i="1"/>
  <c r="E45" i="1"/>
  <c r="K45" i="1"/>
  <c r="E46" i="1"/>
  <c r="K46" i="1"/>
  <c r="E47" i="1"/>
  <c r="K47" i="1"/>
  <c r="E48" i="1"/>
  <c r="K48" i="1"/>
  <c r="E49" i="1"/>
  <c r="K49" i="1"/>
  <c r="E50" i="1"/>
  <c r="K50" i="1"/>
  <c r="E51" i="1"/>
  <c r="K51" i="1"/>
  <c r="E52" i="1"/>
  <c r="K52" i="1"/>
  <c r="E53" i="1"/>
  <c r="K53" i="1"/>
  <c r="C54" i="1"/>
  <c r="D54" i="1"/>
  <c r="G54" i="1"/>
  <c r="H54" i="1"/>
  <c r="I54" i="1"/>
  <c r="J54" i="1"/>
  <c r="M54" i="1"/>
  <c r="N54" i="1"/>
  <c r="E60" i="1"/>
  <c r="E61" i="1"/>
  <c r="E62" i="1"/>
  <c r="E63" i="1"/>
  <c r="E64" i="1"/>
  <c r="E65" i="1"/>
  <c r="E66" i="1"/>
  <c r="E67" i="1"/>
  <c r="E68" i="1"/>
  <c r="E69" i="1"/>
  <c r="E70" i="1"/>
  <c r="C72" i="1"/>
  <c r="D72" i="1"/>
  <c r="G72" i="1"/>
  <c r="H72" i="1"/>
  <c r="I72" i="1"/>
  <c r="J72" i="1"/>
  <c r="K72" i="1"/>
  <c r="M72" i="1"/>
  <c r="N72" i="1"/>
  <c r="E78" i="1"/>
  <c r="E79" i="1"/>
  <c r="E80" i="1"/>
  <c r="E81" i="1"/>
  <c r="E82" i="1"/>
  <c r="E83" i="1"/>
  <c r="E84" i="1"/>
  <c r="E85" i="1"/>
  <c r="E86" i="1"/>
  <c r="E87" i="1"/>
  <c r="E88" i="1"/>
  <c r="E89" i="1"/>
  <c r="C90" i="1"/>
  <c r="D90" i="1"/>
  <c r="G90" i="1"/>
  <c r="H90" i="1"/>
  <c r="I90" i="1"/>
  <c r="J90" i="1"/>
  <c r="K90" i="1"/>
  <c r="M90" i="1"/>
  <c r="N90" i="1"/>
  <c r="E96" i="1"/>
  <c r="K96" i="1"/>
  <c r="E97" i="1"/>
  <c r="K97" i="1"/>
  <c r="E98" i="1"/>
  <c r="E99" i="1"/>
  <c r="E100" i="1"/>
  <c r="E101" i="1"/>
  <c r="E102" i="1"/>
  <c r="E103" i="1"/>
  <c r="E104" i="1"/>
  <c r="E105" i="1"/>
  <c r="E106" i="1"/>
  <c r="E107" i="1"/>
  <c r="C108" i="1"/>
  <c r="D108" i="1"/>
  <c r="G108" i="1"/>
  <c r="H108" i="1"/>
  <c r="I108" i="1"/>
  <c r="J108" i="1"/>
  <c r="M108" i="1"/>
  <c r="N108" i="1"/>
  <c r="E114" i="1"/>
  <c r="K114" i="1"/>
  <c r="E115" i="1"/>
  <c r="K115" i="1"/>
  <c r="E116" i="1"/>
  <c r="E117" i="1"/>
  <c r="E118" i="1"/>
  <c r="E119" i="1"/>
  <c r="E120" i="1"/>
  <c r="E121" i="1"/>
  <c r="E122" i="1"/>
  <c r="E123" i="1"/>
  <c r="E124" i="1"/>
  <c r="E125" i="1"/>
  <c r="C126" i="1"/>
  <c r="D126" i="1"/>
  <c r="G126" i="1"/>
  <c r="H126" i="1"/>
  <c r="I126" i="1"/>
  <c r="J126" i="1"/>
  <c r="M126" i="1"/>
  <c r="N126" i="1"/>
  <c r="E132" i="1"/>
  <c r="K132" i="1"/>
  <c r="K144" i="1" s="1"/>
  <c r="E133" i="1"/>
  <c r="E134" i="1"/>
  <c r="E135" i="1"/>
  <c r="E136" i="1"/>
  <c r="E137" i="1"/>
  <c r="E138" i="1"/>
  <c r="E139" i="1"/>
  <c r="E140" i="1"/>
  <c r="E141" i="1"/>
  <c r="E142" i="1"/>
  <c r="E143" i="1"/>
  <c r="C144" i="1"/>
  <c r="D144" i="1"/>
  <c r="G144" i="1"/>
  <c r="H144" i="1"/>
  <c r="I144" i="1"/>
  <c r="J144" i="1"/>
  <c r="M144" i="1"/>
  <c r="N144" i="1"/>
  <c r="E150" i="1"/>
  <c r="K150" i="1"/>
  <c r="K162" i="1" s="1"/>
  <c r="E151" i="1"/>
  <c r="E152" i="1"/>
  <c r="E153" i="1"/>
  <c r="E154" i="1"/>
  <c r="E155" i="1"/>
  <c r="E156" i="1"/>
  <c r="E157" i="1"/>
  <c r="E158" i="1"/>
  <c r="E159" i="1"/>
  <c r="E160" i="1"/>
  <c r="E161" i="1"/>
  <c r="C162" i="1"/>
  <c r="D162" i="1"/>
  <c r="G162" i="1"/>
  <c r="H162" i="1"/>
  <c r="I162" i="1"/>
  <c r="J162" i="1"/>
  <c r="M162" i="1"/>
  <c r="N162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C180" i="1"/>
  <c r="D180" i="1"/>
  <c r="G180" i="1"/>
  <c r="H180" i="1"/>
  <c r="I180" i="1"/>
  <c r="J180" i="1"/>
  <c r="K180" i="1"/>
  <c r="M180" i="1"/>
  <c r="N180" i="1"/>
  <c r="E186" i="1"/>
  <c r="K186" i="1"/>
  <c r="E187" i="1"/>
  <c r="K187" i="1"/>
  <c r="E188" i="1"/>
  <c r="K188" i="1"/>
  <c r="E189" i="1"/>
  <c r="K189" i="1"/>
  <c r="E190" i="1"/>
  <c r="K190" i="1"/>
  <c r="E191" i="1"/>
  <c r="K191" i="1"/>
  <c r="E192" i="1"/>
  <c r="K192" i="1"/>
  <c r="E193" i="1"/>
  <c r="K193" i="1"/>
  <c r="E194" i="1"/>
  <c r="K194" i="1"/>
  <c r="E195" i="1"/>
  <c r="K195" i="1"/>
  <c r="E196" i="1"/>
  <c r="K196" i="1"/>
  <c r="E197" i="1"/>
  <c r="K197" i="1"/>
  <c r="C198" i="1"/>
  <c r="D198" i="1"/>
  <c r="G198" i="1"/>
  <c r="H198" i="1"/>
  <c r="I198" i="1"/>
  <c r="J198" i="1"/>
  <c r="M198" i="1"/>
  <c r="N198" i="1"/>
  <c r="E204" i="1"/>
  <c r="K204" i="1"/>
  <c r="E205" i="1"/>
  <c r="K205" i="1"/>
  <c r="E206" i="1"/>
  <c r="K206" i="1"/>
  <c r="E207" i="1"/>
  <c r="K207" i="1"/>
  <c r="E208" i="1"/>
  <c r="K208" i="1"/>
  <c r="E209" i="1"/>
  <c r="K209" i="1"/>
  <c r="E210" i="1"/>
  <c r="K210" i="1"/>
  <c r="E211" i="1"/>
  <c r="K211" i="1"/>
  <c r="E212" i="1"/>
  <c r="K212" i="1"/>
  <c r="E213" i="1"/>
  <c r="K213" i="1"/>
  <c r="E214" i="1"/>
  <c r="K214" i="1"/>
  <c r="E215" i="1"/>
  <c r="K215" i="1"/>
  <c r="C216" i="1"/>
  <c r="D216" i="1"/>
  <c r="G216" i="1"/>
  <c r="H216" i="1"/>
  <c r="I216" i="1"/>
  <c r="J216" i="1"/>
  <c r="M216" i="1"/>
  <c r="N216" i="1"/>
  <c r="C222" i="1"/>
  <c r="D222" i="1"/>
  <c r="H222" i="1"/>
  <c r="I222" i="1"/>
  <c r="C223" i="1"/>
  <c r="D223" i="1"/>
  <c r="H223" i="1"/>
  <c r="I223" i="1"/>
  <c r="C224" i="1"/>
  <c r="D224" i="1"/>
  <c r="H224" i="1"/>
  <c r="I224" i="1"/>
  <c r="N224" i="1"/>
  <c r="N234" i="1" s="1"/>
  <c r="C225" i="1"/>
  <c r="D225" i="1"/>
  <c r="H225" i="1"/>
  <c r="I225" i="1"/>
  <c r="C226" i="1"/>
  <c r="D226" i="1"/>
  <c r="H226" i="1"/>
  <c r="I226" i="1"/>
  <c r="C227" i="1"/>
  <c r="D227" i="1"/>
  <c r="H227" i="1"/>
  <c r="I227" i="1"/>
  <c r="C228" i="1"/>
  <c r="D228" i="1"/>
  <c r="H228" i="1"/>
  <c r="I228" i="1"/>
  <c r="J228" i="1"/>
  <c r="J234" i="1" s="1"/>
  <c r="C229" i="1"/>
  <c r="D229" i="1"/>
  <c r="H229" i="1"/>
  <c r="I229" i="1"/>
  <c r="C230" i="1"/>
  <c r="D230" i="1"/>
  <c r="H230" i="1"/>
  <c r="I230" i="1"/>
  <c r="C231" i="1"/>
  <c r="D231" i="1"/>
  <c r="H231" i="1"/>
  <c r="I231" i="1"/>
  <c r="C232" i="1"/>
  <c r="D232" i="1"/>
  <c r="H232" i="1"/>
  <c r="I232" i="1"/>
  <c r="C233" i="1"/>
  <c r="D233" i="1"/>
  <c r="H233" i="1"/>
  <c r="I233" i="1"/>
  <c r="G234" i="1"/>
  <c r="M234" i="1"/>
  <c r="C240" i="1"/>
  <c r="D240" i="1"/>
  <c r="H240" i="1"/>
  <c r="I240" i="1"/>
  <c r="C241" i="1"/>
  <c r="D241" i="1"/>
  <c r="H241" i="1"/>
  <c r="I241" i="1"/>
  <c r="C242" i="1"/>
  <c r="D242" i="1"/>
  <c r="H242" i="1"/>
  <c r="I242" i="1"/>
  <c r="C243" i="1"/>
  <c r="D243" i="1"/>
  <c r="H243" i="1"/>
  <c r="I243" i="1"/>
  <c r="C244" i="1"/>
  <c r="D244" i="1"/>
  <c r="H244" i="1"/>
  <c r="I244" i="1"/>
  <c r="C245" i="1"/>
  <c r="D245" i="1"/>
  <c r="H245" i="1"/>
  <c r="I245" i="1"/>
  <c r="C246" i="1"/>
  <c r="D246" i="1"/>
  <c r="H246" i="1"/>
  <c r="I246" i="1"/>
  <c r="C247" i="1"/>
  <c r="D247" i="1"/>
  <c r="H247" i="1"/>
  <c r="I247" i="1"/>
  <c r="C248" i="1"/>
  <c r="D248" i="1"/>
  <c r="H248" i="1"/>
  <c r="I248" i="1"/>
  <c r="C249" i="1"/>
  <c r="D249" i="1"/>
  <c r="H249" i="1"/>
  <c r="I249" i="1"/>
  <c r="C250" i="1"/>
  <c r="D250" i="1"/>
  <c r="H250" i="1"/>
  <c r="I250" i="1"/>
  <c r="C251" i="1"/>
  <c r="D251" i="1"/>
  <c r="H251" i="1"/>
  <c r="I251" i="1"/>
  <c r="G252" i="1"/>
  <c r="J252" i="1"/>
  <c r="M252" i="1"/>
  <c r="N252" i="1"/>
  <c r="D258" i="1"/>
  <c r="E258" i="1" s="1"/>
  <c r="H258" i="1"/>
  <c r="I258" i="1"/>
  <c r="C259" i="1"/>
  <c r="D259" i="1"/>
  <c r="H259" i="1"/>
  <c r="I259" i="1"/>
  <c r="C260" i="1"/>
  <c r="D260" i="1"/>
  <c r="H260" i="1"/>
  <c r="I260" i="1"/>
  <c r="C261" i="1"/>
  <c r="D261" i="1"/>
  <c r="H261" i="1"/>
  <c r="I261" i="1"/>
  <c r="C262" i="1"/>
  <c r="D262" i="1"/>
  <c r="H262" i="1"/>
  <c r="I262" i="1"/>
  <c r="C263" i="1"/>
  <c r="D263" i="1"/>
  <c r="H263" i="1"/>
  <c r="I263" i="1"/>
  <c r="C264" i="1"/>
  <c r="D264" i="1"/>
  <c r="H264" i="1"/>
  <c r="I264" i="1"/>
  <c r="C265" i="1"/>
  <c r="D265" i="1"/>
  <c r="H265" i="1"/>
  <c r="I265" i="1"/>
  <c r="C266" i="1"/>
  <c r="D266" i="1"/>
  <c r="H266" i="1"/>
  <c r="I266" i="1"/>
  <c r="C267" i="1"/>
  <c r="D267" i="1"/>
  <c r="H267" i="1"/>
  <c r="I267" i="1"/>
  <c r="C268" i="1"/>
  <c r="D268" i="1"/>
  <c r="H268" i="1"/>
  <c r="I268" i="1"/>
  <c r="C269" i="1"/>
  <c r="D269" i="1"/>
  <c r="H269" i="1"/>
  <c r="I269" i="1"/>
  <c r="G270" i="1"/>
  <c r="J270" i="1"/>
  <c r="M270" i="1"/>
  <c r="N270" i="1"/>
  <c r="C276" i="1"/>
  <c r="D276" i="1"/>
  <c r="I276" i="1"/>
  <c r="K276" i="1" s="1"/>
  <c r="C277" i="1"/>
  <c r="D277" i="1"/>
  <c r="I277" i="1"/>
  <c r="K277" i="1" s="1"/>
  <c r="C278" i="1"/>
  <c r="D278" i="1"/>
  <c r="I278" i="1"/>
  <c r="K278" i="1" s="1"/>
  <c r="C279" i="1"/>
  <c r="D279" i="1"/>
  <c r="I279" i="1"/>
  <c r="K279" i="1" s="1"/>
  <c r="C280" i="1"/>
  <c r="E280" i="1" s="1"/>
  <c r="I280" i="1"/>
  <c r="K280" i="1" s="1"/>
  <c r="C281" i="1"/>
  <c r="D281" i="1"/>
  <c r="I281" i="1"/>
  <c r="K281" i="1" s="1"/>
  <c r="C282" i="1"/>
  <c r="D282" i="1"/>
  <c r="I282" i="1"/>
  <c r="K282" i="1" s="1"/>
  <c r="C283" i="1"/>
  <c r="D283" i="1"/>
  <c r="I283" i="1"/>
  <c r="K283" i="1" s="1"/>
  <c r="C284" i="1"/>
  <c r="D284" i="1"/>
  <c r="I284" i="1"/>
  <c r="K284" i="1" s="1"/>
  <c r="C285" i="1"/>
  <c r="D285" i="1"/>
  <c r="I285" i="1"/>
  <c r="K285" i="1" s="1"/>
  <c r="C286" i="1"/>
  <c r="D286" i="1"/>
  <c r="I286" i="1"/>
  <c r="K286" i="1" s="1"/>
  <c r="C287" i="1"/>
  <c r="D287" i="1"/>
  <c r="I287" i="1"/>
  <c r="K287" i="1" s="1"/>
  <c r="G288" i="1"/>
  <c r="H288" i="1"/>
  <c r="J288" i="1"/>
  <c r="M288" i="1"/>
  <c r="N288" i="1"/>
  <c r="C294" i="1"/>
  <c r="D294" i="1"/>
  <c r="K294" i="1"/>
  <c r="C295" i="1"/>
  <c r="D295" i="1"/>
  <c r="K295" i="1"/>
  <c r="C296" i="1"/>
  <c r="D296" i="1"/>
  <c r="K296" i="1"/>
  <c r="C297" i="1"/>
  <c r="D297" i="1"/>
  <c r="K297" i="1"/>
  <c r="C298" i="1"/>
  <c r="D298" i="1"/>
  <c r="K298" i="1"/>
  <c r="C299" i="1"/>
  <c r="D299" i="1"/>
  <c r="K299" i="1"/>
  <c r="C300" i="1"/>
  <c r="D300" i="1"/>
  <c r="K300" i="1"/>
  <c r="C301" i="1"/>
  <c r="D301" i="1"/>
  <c r="K301" i="1"/>
  <c r="C302" i="1"/>
  <c r="D302" i="1"/>
  <c r="K302" i="1"/>
  <c r="C303" i="1"/>
  <c r="D303" i="1"/>
  <c r="K303" i="1"/>
  <c r="C304" i="1"/>
  <c r="D304" i="1"/>
  <c r="M304" i="1"/>
  <c r="M306" i="1" s="1"/>
  <c r="C305" i="1"/>
  <c r="D305" i="1"/>
  <c r="K305" i="1"/>
  <c r="G306" i="1"/>
  <c r="H306" i="1"/>
  <c r="I306" i="1"/>
  <c r="J306" i="1"/>
  <c r="N306" i="1"/>
  <c r="C312" i="1"/>
  <c r="D312" i="1"/>
  <c r="K312" i="1"/>
  <c r="C313" i="1"/>
  <c r="D313" i="1"/>
  <c r="K313" i="1"/>
  <c r="C314" i="1"/>
  <c r="D314" i="1"/>
  <c r="K314" i="1"/>
  <c r="C315" i="1"/>
  <c r="D315" i="1"/>
  <c r="K315" i="1"/>
  <c r="C316" i="1"/>
  <c r="D316" i="1"/>
  <c r="K316" i="1"/>
  <c r="C317" i="1"/>
  <c r="D317" i="1"/>
  <c r="K317" i="1"/>
  <c r="C318" i="1"/>
  <c r="D318" i="1"/>
  <c r="K318" i="1"/>
  <c r="C319" i="1"/>
  <c r="D319" i="1"/>
  <c r="K319" i="1"/>
  <c r="C320" i="1"/>
  <c r="D320" i="1"/>
  <c r="C321" i="1"/>
  <c r="D321" i="1"/>
  <c r="K321" i="1"/>
  <c r="C322" i="1"/>
  <c r="D322" i="1"/>
  <c r="K322" i="1"/>
  <c r="C323" i="1"/>
  <c r="D323" i="1"/>
  <c r="K323" i="1"/>
  <c r="G324" i="1"/>
  <c r="H324" i="1"/>
  <c r="I324" i="1"/>
  <c r="J324" i="1"/>
  <c r="M324" i="1"/>
  <c r="N324" i="1"/>
  <c r="C330" i="1"/>
  <c r="D330" i="1"/>
  <c r="H330" i="1"/>
  <c r="I330" i="1"/>
  <c r="C331" i="1"/>
  <c r="D331" i="1"/>
  <c r="H331" i="1"/>
  <c r="I331" i="1"/>
  <c r="C332" i="1"/>
  <c r="D332" i="1"/>
  <c r="H332" i="1"/>
  <c r="I332" i="1"/>
  <c r="C333" i="1"/>
  <c r="D333" i="1"/>
  <c r="D334" i="1"/>
  <c r="H334" i="1"/>
  <c r="I334" i="1"/>
  <c r="H335" i="1"/>
  <c r="I335" i="1"/>
  <c r="E338" i="1"/>
  <c r="E339" i="1"/>
  <c r="E340" i="1"/>
  <c r="G342" i="1"/>
  <c r="M342" i="1"/>
  <c r="N342" i="1"/>
  <c r="E241" i="1" l="1"/>
  <c r="E224" i="1"/>
  <c r="K335" i="1"/>
  <c r="C360" i="1"/>
  <c r="E303" i="1"/>
  <c r="K349" i="1"/>
  <c r="E228" i="1"/>
  <c r="E230" i="1"/>
  <c r="K350" i="1"/>
  <c r="E350" i="1"/>
  <c r="E265" i="1"/>
  <c r="E259" i="1"/>
  <c r="E226" i="1"/>
  <c r="E335" i="1"/>
  <c r="E301" i="1"/>
  <c r="E319" i="1"/>
  <c r="E313" i="1"/>
  <c r="E295" i="1"/>
  <c r="E349" i="1"/>
  <c r="E286" i="1"/>
  <c r="E284" i="1"/>
  <c r="E251" i="1"/>
  <c r="E245" i="1"/>
  <c r="K243" i="1"/>
  <c r="E232" i="1"/>
  <c r="E322" i="1"/>
  <c r="E314" i="1"/>
  <c r="E298" i="1"/>
  <c r="E296" i="1"/>
  <c r="E279" i="1"/>
  <c r="K248" i="1"/>
  <c r="K242" i="1"/>
  <c r="E332" i="1"/>
  <c r="K330" i="1"/>
  <c r="E283" i="1"/>
  <c r="K247" i="1"/>
  <c r="E246" i="1"/>
  <c r="K241" i="1"/>
  <c r="E240" i="1"/>
  <c r="E264" i="1"/>
  <c r="K259" i="1"/>
  <c r="K222" i="1"/>
  <c r="K331" i="1"/>
  <c r="E225" i="1"/>
  <c r="K244" i="1"/>
  <c r="E285" i="1"/>
  <c r="E223" i="1"/>
  <c r="E312" i="1"/>
  <c r="E300" i="1"/>
  <c r="E262" i="1"/>
  <c r="K334" i="1"/>
  <c r="E317" i="1"/>
  <c r="E227" i="1"/>
  <c r="E287" i="1"/>
  <c r="E266" i="1"/>
  <c r="E260" i="1"/>
  <c r="E333" i="1"/>
  <c r="E318" i="1"/>
  <c r="E261" i="1"/>
  <c r="E250" i="1"/>
  <c r="E229" i="1"/>
  <c r="K226" i="1"/>
  <c r="K348" i="1"/>
  <c r="K108" i="1"/>
  <c r="E315" i="1"/>
  <c r="E305" i="1"/>
  <c r="E281" i="1"/>
  <c r="K249" i="1"/>
  <c r="E248" i="1"/>
  <c r="K245" i="1"/>
  <c r="E244" i="1"/>
  <c r="K240" i="1"/>
  <c r="K223" i="1"/>
  <c r="E320" i="1"/>
  <c r="E269" i="1"/>
  <c r="K250" i="1"/>
  <c r="K225" i="1"/>
  <c r="E348" i="1"/>
  <c r="K332" i="1"/>
  <c r="E331" i="1"/>
  <c r="E304" i="1"/>
  <c r="E297" i="1"/>
  <c r="E267" i="1"/>
  <c r="E263" i="1"/>
  <c r="E242" i="1"/>
  <c r="E231" i="1"/>
  <c r="K227" i="1"/>
  <c r="E54" i="1"/>
  <c r="K126" i="1"/>
  <c r="D306" i="1"/>
  <c r="K224" i="1"/>
  <c r="H342" i="1"/>
  <c r="E276" i="1"/>
  <c r="E268" i="1"/>
  <c r="K251" i="1"/>
  <c r="E233" i="1"/>
  <c r="C324" i="1"/>
  <c r="I270" i="1"/>
  <c r="C252" i="1"/>
  <c r="K265" i="1"/>
  <c r="K246" i="1"/>
  <c r="K230" i="1"/>
  <c r="K198" i="1"/>
  <c r="E90" i="1"/>
  <c r="K337" i="1"/>
  <c r="K341" i="1"/>
  <c r="E323" i="1"/>
  <c r="E108" i="1"/>
  <c r="E126" i="1"/>
  <c r="E330" i="1"/>
  <c r="E299" i="1"/>
  <c r="E294" i="1"/>
  <c r="C288" i="1"/>
  <c r="E278" i="1"/>
  <c r="H252" i="1"/>
  <c r="E247" i="1"/>
  <c r="I252" i="1"/>
  <c r="H234" i="1"/>
  <c r="E198" i="1"/>
  <c r="C234" i="1"/>
  <c r="E321" i="1"/>
  <c r="E277" i="1"/>
  <c r="D270" i="1"/>
  <c r="K266" i="1"/>
  <c r="K260" i="1"/>
  <c r="D234" i="1"/>
  <c r="K231" i="1"/>
  <c r="E144" i="1"/>
  <c r="K36" i="1"/>
  <c r="C270" i="1"/>
  <c r="K267" i="1"/>
  <c r="K261" i="1"/>
  <c r="D252" i="1"/>
  <c r="K232" i="1"/>
  <c r="E18" i="1"/>
  <c r="E282" i="1"/>
  <c r="K268" i="1"/>
  <c r="K262" i="1"/>
  <c r="K233" i="1"/>
  <c r="I234" i="1"/>
  <c r="E180" i="1"/>
  <c r="E162" i="1"/>
  <c r="E72" i="1"/>
  <c r="K18" i="1"/>
  <c r="C306" i="1"/>
  <c r="K269" i="1"/>
  <c r="K263" i="1"/>
  <c r="E216" i="1"/>
  <c r="E36" i="1"/>
  <c r="E334" i="1"/>
  <c r="E316" i="1"/>
  <c r="E302" i="1"/>
  <c r="K264" i="1"/>
  <c r="H270" i="1"/>
  <c r="E249" i="1"/>
  <c r="E243" i="1"/>
  <c r="K229" i="1"/>
  <c r="K228" i="1"/>
  <c r="E222" i="1"/>
  <c r="K216" i="1"/>
  <c r="K54" i="1"/>
  <c r="K336" i="1"/>
  <c r="K324" i="1"/>
  <c r="K288" i="1"/>
  <c r="D342" i="1"/>
  <c r="H360" i="1"/>
  <c r="K258" i="1"/>
  <c r="I288" i="1"/>
  <c r="D324" i="1"/>
  <c r="D288" i="1"/>
  <c r="I342" i="1"/>
  <c r="E341" i="1"/>
  <c r="D360" i="1"/>
  <c r="E337" i="1"/>
  <c r="C342" i="1"/>
  <c r="E336" i="1"/>
  <c r="K333" i="1"/>
  <c r="K342" i="1" l="1"/>
  <c r="E360" i="1"/>
  <c r="K360" i="1"/>
  <c r="E306" i="1"/>
  <c r="K252" i="1"/>
  <c r="E270" i="1"/>
  <c r="E234" i="1"/>
  <c r="E252" i="1"/>
  <c r="E288" i="1"/>
  <c r="K234" i="1"/>
  <c r="E324" i="1"/>
  <c r="K270" i="1"/>
  <c r="E3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Tracey Dang</author>
    <author>Rhoda Fertig</author>
  </authors>
  <commentList>
    <comment ref="D29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Tracey Dang:</t>
        </r>
        <r>
          <rPr>
            <sz val="9"/>
            <color indexed="81"/>
            <rFont val="Tahoma"/>
            <family val="2"/>
          </rPr>
          <t xml:space="preserve">
disputed $9,681.18 then paid</t>
        </r>
      </text>
    </comment>
    <comment ref="D29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Tracey Dang:</t>
        </r>
        <r>
          <rPr>
            <sz val="9"/>
            <color indexed="81"/>
            <rFont val="Tahoma"/>
            <family val="2"/>
          </rPr>
          <t xml:space="preserve">
disputed 983.43 then paid</t>
        </r>
      </text>
    </comment>
    <comment ref="G30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Rhoda Fertig:</t>
        </r>
        <r>
          <rPr>
            <sz val="9"/>
            <color indexed="81"/>
            <rFont val="Tahoma"/>
            <family val="2"/>
          </rPr>
          <t xml:space="preserve">
Estimated Consumption
</t>
        </r>
      </text>
    </comment>
    <comment ref="K30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Tracey Dang:</t>
        </r>
        <r>
          <rPr>
            <sz val="9"/>
            <color indexed="81"/>
            <rFont val="Tahoma"/>
            <family val="2"/>
          </rPr>
          <t xml:space="preserve">
had a solenoid leak in november</t>
        </r>
      </text>
    </comment>
    <comment ref="J32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Rhoda Fertig:</t>
        </r>
        <r>
          <rPr>
            <sz val="9"/>
            <color indexed="81"/>
            <rFont val="Tahoma"/>
            <family val="2"/>
          </rPr>
          <t xml:space="preserve">
COH credits had to be manual entered and will appear in 2023
</t>
        </r>
      </text>
    </comment>
  </commentList>
</comments>
</file>

<file path=xl/sharedStrings.xml><?xml version="1.0" encoding="utf-8"?>
<sst xmlns="http://schemas.openxmlformats.org/spreadsheetml/2006/main" count="563" uniqueCount="28">
  <si>
    <t>Water</t>
  </si>
  <si>
    <t>Sewer</t>
  </si>
  <si>
    <t>Natural Gas</t>
  </si>
  <si>
    <t>Month</t>
  </si>
  <si>
    <t>Year</t>
  </si>
  <si>
    <t>kWh Consumption</t>
  </si>
  <si>
    <t>Expense</t>
  </si>
  <si>
    <t>Avg Rate</t>
  </si>
  <si>
    <t>Water Gallons</t>
  </si>
  <si>
    <t>Sewer Credit</t>
  </si>
  <si>
    <t>Total</t>
  </si>
  <si>
    <t>mcf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</si>
  <si>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</si>
  <si>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</si>
  <si>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</si>
  <si>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</si>
  <si>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</si>
  <si>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</si>
  <si>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</si>
  <si>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</si>
  <si>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</si>
  <si>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</si>
  <si>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</si>
  <si>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</si>
  <si>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kWh</t>
  </si>
  <si>
    <t xml:space="preserve"> </t>
  </si>
  <si>
    <t>3,3673,</t>
  </si>
  <si>
    <t>Expense2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</si>
</sst>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0_);[Red]\(&quot;$&quot;#,##0.00000\)"/>
    <numFmt numFmtId="165" formatCode="&quot;$&quot;#,##0"/>
    <numFmt numFmtId="166" formatCode="_(* #,##0_);_(* \(#,##0\);_(* &quot;-&quot;??_);_(@_)"/>
    <numFmt numFmtId="167" formatCode="_(&quot;$&quot;* #,##0_);_(&quot;$&quot;* \(#,##0\);_(&quot;$&quot;* &quot;-&quot;??_);_(@_)"/>
    <numFmt numFmtId="168" formatCode="0.0000000"/>
  </numFmts>
  <fonts count="11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6" fontId="0" fillId="0" borderId="0" xfId="0" applyNumberFormat="1"/>
    <xf numFmtId="8" fontId="0" fillId="0" borderId="0" xfId="0" applyNumberFormat="1"/>
    <xf numFmtId="0" fontId="0" fillId="2" borderId="0" xfId="0" applyFill="1" applyAlignment="1">
      <alignment horizontal="center"/>
    </xf>
    <xf numFmtId="38" fontId="0" fillId="2" borderId="0" xfId="0" applyNumberFormat="1" applyFill="1"/>
    <xf numFmtId="3" fontId="0" fillId="2" borderId="0" xfId="0" applyNumberFormat="1" applyFill="1"/>
    <xf numFmtId="167" fontId="0" fillId="2" borderId="0" xfId="2" applyNumberFormat="1" applyFont="1" applyFill="1"/>
    <xf numFmtId="168" fontId="0" fillId="2" borderId="0" xfId="0" applyNumberFormat="1" applyFill="1"/>
    <xf numFmtId="167" fontId="6" fillId="2" borderId="0" xfId="2" applyNumberFormat="1" applyFont="1" applyFill="1"/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8" fontId="1" fillId="3" borderId="0" xfId="0" applyNumberFormat="1" applyFont="1" applyFill="1"/>
    <xf numFmtId="167" fontId="3" fillId="3" borderId="0" xfId="2" applyNumberFormat="1" applyFont="1" applyFill="1"/>
    <xf numFmtId="168" fontId="1" fillId="3" borderId="0" xfId="0" applyNumberFormat="1" applyFont="1" applyFill="1"/>
    <xf numFmtId="0" fontId="1" fillId="3" borderId="0" xfId="0" applyFont="1" applyFill="1"/>
    <xf numFmtId="3" fontId="1" fillId="3" borderId="0" xfId="0" applyNumberFormat="1" applyFont="1" applyFill="1"/>
    <xf numFmtId="167" fontId="1" fillId="3" borderId="0" xfId="2" applyNumberFormat="1" applyFont="1" applyFill="1"/>
    <xf numFmtId="167" fontId="6" fillId="3" borderId="0" xfId="2" applyNumberFormat="1" applyFont="1" applyFill="1"/>
    <xf numFmtId="165" fontId="1" fillId="3" borderId="0" xfId="0" applyNumberFormat="1" applyFont="1" applyFill="1"/>
    <xf numFmtId="166" fontId="1" fillId="3" borderId="0" xfId="1" applyNumberFormat="1" applyFont="1" applyFill="1"/>
    <xf numFmtId="38" fontId="0" fillId="3" borderId="0" xfId="0" applyNumberFormat="1" applyFill="1"/>
    <xf numFmtId="6" fontId="0" fillId="3" borderId="0" xfId="0" applyNumberFormat="1" applyFill="1"/>
    <xf numFmtId="164" fontId="0" fillId="3" borderId="0" xfId="0" applyNumberFormat="1" applyFill="1"/>
    <xf numFmtId="42" fontId="6" fillId="3" borderId="0" xfId="0" applyNumberFormat="1" applyFont="1" applyFill="1"/>
    <xf numFmtId="0" fontId="1" fillId="3" borderId="0" xfId="0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4" fontId="1" fillId="3" borderId="0" xfId="0" applyNumberFormat="1" applyFont="1" applyFill="1" applyAlignment="1">
      <alignment horizontal="left"/>
    </xf>
    <xf numFmtId="0" fontId="3" fillId="3" borderId="0" xfId="0" applyFont="1" applyFill="1"/>
    <xf numFmtId="14" fontId="3" fillId="3" borderId="0" xfId="0" applyNumberFormat="1" applyFont="1" applyFill="1" applyAlignment="1">
      <alignment horizontal="center"/>
    </xf>
    <xf numFmtId="3" fontId="0" fillId="3" borderId="0" xfId="0" applyNumberFormat="1" applyFill="1"/>
    <xf numFmtId="167" fontId="0" fillId="3" borderId="0" xfId="2" applyNumberFormat="1" applyFont="1" applyFill="1"/>
    <xf numFmtId="0" fontId="1" fillId="3" borderId="1" xfId="0" applyFont="1" applyFill="1" applyBorder="1" applyAlignment="1">
      <alignment horizontal="center"/>
    </xf>
    <xf numFmtId="38" fontId="1" fillId="3" borderId="1" xfId="0" applyNumberFormat="1" applyFont="1" applyFill="1" applyBorder="1"/>
    <xf numFmtId="167" fontId="1" fillId="3" borderId="1" xfId="2" applyNumberFormat="1" applyFont="1" applyFill="1" applyBorder="1"/>
    <xf numFmtId="168" fontId="1" fillId="3" borderId="1" xfId="0" applyNumberFormat="1" applyFont="1" applyFill="1" applyBorder="1"/>
    <xf numFmtId="3" fontId="1" fillId="3" borderId="1" xfId="0" applyNumberFormat="1" applyFont="1" applyFill="1" applyBorder="1"/>
    <xf numFmtId="167" fontId="6" fillId="3" borderId="1" xfId="2" applyNumberFormat="1" applyFont="1" applyFill="1" applyBorder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3" borderId="0" xfId="0" applyNumberFormat="1" applyFill="1"/>
    <xf numFmtId="38" fontId="1" fillId="3" borderId="0" xfId="0" applyNumberFormat="1" applyFont="1" applyFill="1" applyAlignment="1">
      <alignment horizontal="center"/>
    </xf>
    <xf numFmtId="167" fontId="3" fillId="3" borderId="0" xfId="2" applyNumberFormat="1" applyFont="1" applyFill="1" applyAlignment="1">
      <alignment horizontal="center"/>
    </xf>
    <xf numFmtId="168" fontId="1" fillId="3" borderId="0" xfId="0" applyNumberFormat="1" applyFont="1" applyFill="1" applyAlignment="1">
      <alignment horizontal="center"/>
    </xf>
    <xf numFmtId="167" fontId="6" fillId="3" borderId="0" xfId="2" applyNumberFormat="1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167" fontId="1" fillId="3" borderId="0" xfId="2" applyNumberFormat="1" applyFont="1" applyFill="1" applyAlignment="1">
      <alignment horizontal="center" vertical="center"/>
    </xf>
    <xf numFmtId="167" fontId="3" fillId="3" borderId="0" xfId="2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167" fontId="0" fillId="0" borderId="0" xfId="2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167" fontId="1" fillId="0" borderId="0" xfId="2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167" fontId="1" fillId="0" borderId="1" xfId="2" applyNumberFormat="1" applyFont="1" applyFill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167" fontId="0" fillId="0" borderId="0" xfId="2" applyNumberFormat="1" applyFont="1" applyFill="1" applyAlignment="1">
      <alignment horizontal="center" vertical="center"/>
    </xf>
    <xf numFmtId="167" fontId="6" fillId="0" borderId="0" xfId="2" applyNumberFormat="1" applyFont="1" applyFill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7" fontId="1" fillId="0" borderId="1" xfId="2" applyNumberFormat="1" applyFont="1" applyFill="1" applyBorder="1" applyAlignment="1">
      <alignment horizontal="center" vertical="center"/>
    </xf>
    <xf numFmtId="167" fontId="6" fillId="0" borderId="1" xfId="2" applyNumberFormat="1" applyFont="1" applyFill="1" applyBorder="1" applyAlignment="1">
      <alignment horizontal="center" vertical="center"/>
    </xf>
    <xf numFmtId="0" fontId="1" fillId="4" borderId="0" xfId="0" applyFont="1" applyFill="1"/>
    <xf numFmtId="0" fontId="9" fillId="4" borderId="0" xfId="0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0" xfId="0" applyFill="1"/>
    <xf numFmtId="3" fontId="9" fillId="4" borderId="0" xfId="0" applyNumberFormat="1" applyFont="1" applyFill="1" applyAlignment="1">
      <alignment horizontal="center" vertical="center"/>
    </xf>
    <xf numFmtId="6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9" fillId="5" borderId="0" xfId="0" applyFont="1" applyFill="1" applyAlignment="1">
      <alignment horizontal="center"/>
    </xf>
    <xf numFmtId="3" fontId="0" fillId="5" borderId="0" xfId="0" applyNumberFormat="1" applyFill="1" applyAlignment="1">
      <alignment horizontal="center"/>
    </xf>
    <xf numFmtId="0" fontId="9" fillId="4" borderId="4" xfId="0" applyFont="1" applyFill="1" applyBorder="1"/>
    <xf numFmtId="3" fontId="8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center" vertical="center"/>
    </xf>
    <xf numFmtId="6" fontId="8" fillId="4" borderId="4" xfId="0" applyNumberFormat="1" applyFont="1" applyFill="1" applyBorder="1" applyAlignment="1">
      <alignment horizontal="center" vertical="center"/>
    </xf>
    <xf numFmtId="3" fontId="9" fillId="5" borderId="0" xfId="0" applyNumberFormat="1" applyFont="1" applyFill="1" applyAlignment="1">
      <alignment horizontal="center" vertical="center"/>
    </xf>
    <xf numFmtId="6" fontId="9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9" fillId="5" borderId="0" xfId="0" applyFont="1" applyFill="1" applyAlignment="1">
      <alignment horizontal="center" vertical="center"/>
    </xf>
    <xf numFmtId="0" fontId="3" fillId="0" borderId="2" xfId="0" applyFont="1" applyBorder="1"/>
    <xf numFmtId="14" fontId="3" fillId="0" borderId="3" xfId="0" applyNumberFormat="1" applyFont="1" applyBorder="1" applyAlignment="1">
      <alignment horizontal="center"/>
    </xf>
    <xf numFmtId="0" fontId="1" fillId="2" borderId="0" xfId="0" applyFont="1" applyFill="1"/>
    <xf numFmtId="0" fontId="1" fillId="3" borderId="1" xfId="0" applyFont="1" applyFill="1" applyBorder="1"/>
    <xf numFmtId="168" fontId="8" fillId="4" borderId="4" xfId="0" applyNumberFormat="1" applyFont="1" applyFill="1" applyBorder="1" applyAlignment="1">
      <alignment horizontal="center"/>
    </xf>
    <xf numFmtId="42" fontId="9" fillId="5" borderId="0" xfId="0" applyNumberFormat="1" applyFont="1" applyFill="1" applyAlignment="1">
      <alignment horizontal="center"/>
    </xf>
    <xf numFmtId="42" fontId="9" fillId="4" borderId="0" xfId="0" applyNumberFormat="1" applyFont="1" applyFill="1" applyAlignment="1">
      <alignment horizontal="center"/>
    </xf>
    <xf numFmtId="42" fontId="8" fillId="5" borderId="0" xfId="0" applyNumberFormat="1" applyFont="1" applyFill="1" applyAlignment="1">
      <alignment horizontal="center"/>
    </xf>
    <xf numFmtId="42" fontId="8" fillId="0" borderId="0" xfId="0" applyNumberFormat="1" applyFont="1" applyAlignment="1">
      <alignment horizontal="center"/>
    </xf>
    <xf numFmtId="42" fontId="7" fillId="4" borderId="4" xfId="0" applyNumberFormat="1" applyFont="1" applyFill="1" applyBorder="1" applyAlignment="1">
      <alignment horizontal="center"/>
    </xf>
    <xf numFmtId="42" fontId="9" fillId="5" borderId="0" xfId="0" applyNumberFormat="1" applyFont="1" applyFill="1" applyAlignment="1">
      <alignment horizontal="center" vertical="center"/>
    </xf>
    <xf numFmtId="42" fontId="9" fillId="4" borderId="0" xfId="0" applyNumberFormat="1" applyFont="1" applyFill="1" applyAlignment="1">
      <alignment horizontal="center" vertical="center"/>
    </xf>
    <xf numFmtId="42" fontId="8" fillId="4" borderId="4" xfId="0" applyNumberFormat="1" applyFont="1" applyFill="1" applyBorder="1" applyAlignment="1">
      <alignment horizontal="center" vertical="center"/>
    </xf>
    <xf numFmtId="43" fontId="9" fillId="5" borderId="0" xfId="0" applyNumberFormat="1" applyFont="1" applyFill="1" applyAlignment="1">
      <alignment horizontal="center" vertical="center"/>
    </xf>
    <xf numFmtId="43" fontId="9" fillId="4" borderId="0" xfId="0" applyNumberFormat="1" applyFont="1" applyFill="1" applyAlignment="1">
      <alignment horizontal="center" vertical="center"/>
    </xf>
    <xf numFmtId="43" fontId="7" fillId="4" borderId="4" xfId="0" applyNumberFormat="1" applyFont="1" applyFill="1" applyBorder="1" applyAlignment="1">
      <alignment horizontal="center" vertical="center"/>
    </xf>
    <xf numFmtId="42" fontId="6" fillId="5" borderId="0" xfId="0" applyNumberFormat="1" applyFont="1" applyFill="1" applyAlignment="1">
      <alignment horizontal="center" vertical="center"/>
    </xf>
    <xf numFmtId="42" fontId="6" fillId="4" borderId="0" xfId="0" applyNumberFormat="1" applyFont="1" applyFill="1" applyAlignment="1">
      <alignment horizontal="center" vertical="center"/>
    </xf>
    <xf numFmtId="42" fontId="10" fillId="4" borderId="4" xfId="0" applyNumberFormat="1" applyFont="1" applyFill="1" applyBorder="1" applyAlignment="1">
      <alignment horizontal="center" vertical="center"/>
    </xf>
    <xf numFmtId="42" fontId="8" fillId="0" borderId="0" xfId="0" applyNumberFormat="1" applyFont="1" applyAlignment="1">
      <alignment horizontal="center" vertical="center"/>
    </xf>
    <xf numFmtId="42" fontId="7" fillId="4" borderId="4" xfId="0" applyNumberFormat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8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BD21CD-FDAB-4AD4-AEDF-3BADD0E64463}" name="Table2" displayName="Table2" ref="A347:E360" totalsRowShown="0" headerRowDxfId="17" headerRowBorderDxfId="16">
  <autoFilter ref="A347:E360" xr:uid="{15BD21CD-FDAB-4AD4-AEDF-3BADD0E64463}"/>
  <tableColumns count="5">
    <tableColumn id="1" xr3:uid="{C970B490-6B3C-46DE-B8C5-CD44011F8D0A}" name="Month"/>
    <tableColumn id="2" xr3:uid="{BEA1B83F-8BE1-4FAA-A97C-B0CF6771B13C}" name="Year"/>
    <tableColumn id="3" xr3:uid="{6923A8FB-92FD-4F44-BD1E-6F2C58504859}" name="kWh" dataDxfId="15"/>
    <tableColumn id="4" xr3:uid="{22C8022C-0951-4E15-BE8B-B05D40B8F31A}" name="Expense" dataDxfId="14"/>
    <tableColumn id="5" xr3:uid="{C862F12F-B617-47D3-B736-E00327D331E4}" name="Avg Rate" dataDxfId="13">
      <calculatedColumnFormula>+D348/C348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3404219-A8E0-4202-A2FC-BECA92FABAE5}" name="Table3" displayName="Table3" ref="G347:K360" totalsRowShown="0" headerRowDxfId="12" dataDxfId="10" headerRowBorderDxfId="11">
  <autoFilter ref="G347:K360" xr:uid="{F3404219-A8E0-4202-A2FC-BECA92FABAE5}"/>
  <tableColumns count="5">
    <tableColumn id="1" xr3:uid="{44385CF7-7AD4-4A53-B416-558E5B2A6D3D}" name="Water Gallons" dataDxfId="9"/>
    <tableColumn id="2" xr3:uid="{8DDE142D-F835-448F-9944-57E45ABC18B1}" name="Expense" dataDxfId="8"/>
    <tableColumn id="3" xr3:uid="{60E072E5-B3C1-422F-9C87-E417D9C2B1D1}" name="Expense2" dataDxfId="7"/>
    <tableColumn id="4" xr3:uid="{F93A45A8-071D-4B73-AC2E-5553DD2D0AD2}" name="Sewer Credit" dataDxfId="6"/>
    <tableColumn id="5" xr3:uid="{57A1BCCB-43CC-4D12-A09B-CE1C76EFBDCB}" name="Total" dataDxfId="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B14E51-DBFA-4F03-9E2E-90407FBB698D}" name="Table4" displayName="Table4" ref="M347:N360" totalsRowShown="0" headerRowDxfId="4" dataDxfId="2" headerRowBorderDxfId="3">
  <autoFilter ref="M347:N360" xr:uid="{92B14E51-DBFA-4F03-9E2E-90407FBB698D}"/>
  <tableColumns count="2">
    <tableColumn id="1" xr3:uid="{60DCC44F-109B-4D7D-93DA-3AA377FCF6F6}" name="mcf" dataDxfId="1"/>
    <tableColumn id="2" xr3:uid="{0C9D57DC-5E0B-43EE-8566-F951BF6369EC}" name="Expens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8"/>
  <sheetViews>
    <sheetView tabSelected="1" zoomScaleNormal="100" zoomScaleSheetLayoutView="85" workbookViewId="0">
      <pane ySplit="1" topLeftCell="A341" activePane="bottomLeft" state="frozen"/>
      <selection pane="bottomLeft" activeCell="F347" sqref="F347"/>
    </sheetView>
  </sheetViews>
  <sheetFormatPr defaultRowHeight="12.75" outlineLevelRow="1" x14ac:dyDescent="0.2"/>
  <cols>
    <col min="1" max="1" width="13.5703125" bestFit="1" customWidth="1"/>
    <col min="2" max="2" width="10.42578125" bestFit="1" customWidth="1"/>
    <col min="3" max="3" width="17.140625" bestFit="1" customWidth="1"/>
    <col min="4" max="4" width="13.5703125" bestFit="1" customWidth="1"/>
    <col min="5" max="5" width="13.7109375" bestFit="1" customWidth="1"/>
    <col min="6" max="6" width="17" customWidth="1"/>
    <col min="7" max="7" width="18.7109375" bestFit="1" customWidth="1"/>
    <col min="8" max="9" width="13.5703125" bestFit="1" customWidth="1"/>
    <col min="10" max="10" width="12" bestFit="1" customWidth="1"/>
    <col min="11" max="11" width="10.5703125" bestFit="1" customWidth="1"/>
    <col min="12" max="12" width="6.7109375" customWidth="1"/>
    <col min="13" max="13" width="14.28515625" customWidth="1"/>
    <col min="14" max="14" width="13.5703125" bestFit="1" customWidth="1"/>
  </cols>
  <sheetData>
    <row r="1" spans="1:15" x14ac:dyDescent="0.2">
      <c r="A1" s="92"/>
      <c r="B1" s="93"/>
      <c r="C1" s="32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">
      <c r="A2" s="33"/>
      <c r="B2" s="34"/>
      <c r="C2" s="32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5" x14ac:dyDescent="0.2">
      <c r="A4" s="11">
        <v>2005</v>
      </c>
      <c r="B4" s="10"/>
      <c r="C4" s="10"/>
      <c r="D4" s="10"/>
      <c r="E4" s="10"/>
      <c r="F4" s="10"/>
      <c r="G4" s="10"/>
      <c r="H4" s="12" t="s">
        <v>0</v>
      </c>
      <c r="I4" s="12" t="s">
        <v>1</v>
      </c>
      <c r="J4" s="10"/>
      <c r="K4" s="10"/>
      <c r="L4" s="10"/>
      <c r="M4" s="12" t="s">
        <v>2</v>
      </c>
      <c r="N4" s="10"/>
    </row>
    <row r="5" spans="1:15" x14ac:dyDescent="0.2">
      <c r="A5" s="13" t="s">
        <v>3</v>
      </c>
      <c r="B5" s="14" t="s">
        <v>4</v>
      </c>
      <c r="C5" s="14" t="s">
        <v>5</v>
      </c>
      <c r="D5" s="14" t="s">
        <v>6</v>
      </c>
      <c r="E5" s="15" t="s">
        <v>7</v>
      </c>
      <c r="F5" s="10"/>
      <c r="G5" s="16" t="s">
        <v>8</v>
      </c>
      <c r="H5" s="14" t="s">
        <v>6</v>
      </c>
      <c r="I5" s="14" t="s">
        <v>6</v>
      </c>
      <c r="J5" s="14" t="s">
        <v>9</v>
      </c>
      <c r="K5" s="14" t="s">
        <v>10</v>
      </c>
      <c r="L5" s="10"/>
      <c r="M5" s="14" t="s">
        <v>11</v>
      </c>
      <c r="N5" s="14" t="s">
        <v>6</v>
      </c>
    </row>
    <row r="6" spans="1:15" outlineLevel="1" x14ac:dyDescent="0.2">
      <c r="A6" s="94" t="s">
        <v>12</v>
      </c>
      <c r="B6" s="3">
        <v>2005</v>
      </c>
      <c r="C6" s="4">
        <v>371611</v>
      </c>
      <c r="D6" s="6">
        <v>28692</v>
      </c>
      <c r="E6" s="7">
        <f>+D6/C6</f>
        <v>7.7209770431983987E-2</v>
      </c>
      <c r="F6" s="9"/>
      <c r="G6" s="5">
        <v>253000</v>
      </c>
      <c r="H6" s="6">
        <v>731</v>
      </c>
      <c r="I6" s="6">
        <v>1093</v>
      </c>
      <c r="J6" s="8">
        <v>0</v>
      </c>
      <c r="K6" s="6">
        <f>+H6+I6+J6</f>
        <v>1824</v>
      </c>
      <c r="L6" s="9"/>
      <c r="M6" s="5">
        <v>715</v>
      </c>
      <c r="N6" s="6">
        <v>6467</v>
      </c>
      <c r="O6" s="2"/>
    </row>
    <row r="7" spans="1:15" outlineLevel="1" x14ac:dyDescent="0.2">
      <c r="A7" s="20" t="s">
        <v>13</v>
      </c>
      <c r="B7" s="44">
        <v>2005</v>
      </c>
      <c r="C7" s="26">
        <v>331147</v>
      </c>
      <c r="D7" s="36">
        <v>25799</v>
      </c>
      <c r="E7" s="45">
        <f t="shared" ref="E7:E17" si="0">+D7/C7</f>
        <v>7.7907998562571912E-2</v>
      </c>
      <c r="F7" s="10"/>
      <c r="G7" s="35">
        <v>310000</v>
      </c>
      <c r="H7" s="36">
        <v>873</v>
      </c>
      <c r="I7" s="36">
        <v>1339</v>
      </c>
      <c r="J7" s="23">
        <v>0</v>
      </c>
      <c r="K7" s="36">
        <f t="shared" ref="K7:K17" si="1">+H7+I7+J7</f>
        <v>2212</v>
      </c>
      <c r="L7" s="10"/>
      <c r="M7" s="35">
        <v>1165</v>
      </c>
      <c r="N7" s="36">
        <v>10486</v>
      </c>
      <c r="O7" s="2"/>
    </row>
    <row r="8" spans="1:15" outlineLevel="1" x14ac:dyDescent="0.2">
      <c r="A8" s="94" t="s">
        <v>14</v>
      </c>
      <c r="B8" s="3">
        <v>2005</v>
      </c>
      <c r="C8" s="4">
        <v>375991</v>
      </c>
      <c r="D8" s="6">
        <v>29162</v>
      </c>
      <c r="E8" s="7">
        <f t="shared" si="0"/>
        <v>7.7560367136447414E-2</v>
      </c>
      <c r="F8" s="9"/>
      <c r="G8" s="5">
        <v>321000</v>
      </c>
      <c r="H8" s="6">
        <v>901</v>
      </c>
      <c r="I8" s="6">
        <v>1386</v>
      </c>
      <c r="J8" s="8">
        <v>0</v>
      </c>
      <c r="K8" s="6">
        <f t="shared" si="1"/>
        <v>2287</v>
      </c>
      <c r="L8" s="9"/>
      <c r="M8" s="5">
        <v>113</v>
      </c>
      <c r="N8" s="6">
        <v>1063</v>
      </c>
      <c r="O8" s="2"/>
    </row>
    <row r="9" spans="1:15" outlineLevel="1" x14ac:dyDescent="0.2">
      <c r="A9" s="20" t="s">
        <v>15</v>
      </c>
      <c r="B9" s="44">
        <v>2005</v>
      </c>
      <c r="C9" s="26">
        <v>366851</v>
      </c>
      <c r="D9" s="36">
        <v>29865</v>
      </c>
      <c r="E9" s="45">
        <f t="shared" si="0"/>
        <v>8.1409073438534985E-2</v>
      </c>
      <c r="F9" s="10"/>
      <c r="G9" s="35">
        <v>344000</v>
      </c>
      <c r="H9" s="36">
        <v>958</v>
      </c>
      <c r="I9" s="36">
        <v>1485</v>
      </c>
      <c r="J9" s="23">
        <v>0</v>
      </c>
      <c r="K9" s="36">
        <f t="shared" si="1"/>
        <v>2443</v>
      </c>
      <c r="L9" s="10"/>
      <c r="M9" s="35">
        <v>239</v>
      </c>
      <c r="N9" s="36">
        <v>2196</v>
      </c>
      <c r="O9" s="2"/>
    </row>
    <row r="10" spans="1:15" outlineLevel="1" x14ac:dyDescent="0.2">
      <c r="A10" s="94" t="s">
        <v>16</v>
      </c>
      <c r="B10" s="3">
        <v>2005</v>
      </c>
      <c r="C10" s="4">
        <v>429109</v>
      </c>
      <c r="D10" s="6">
        <v>34459</v>
      </c>
      <c r="E10" s="7">
        <f t="shared" si="0"/>
        <v>8.0303605843736678E-2</v>
      </c>
      <c r="F10" s="9"/>
      <c r="G10" s="5">
        <v>337000</v>
      </c>
      <c r="H10" s="6">
        <v>972</v>
      </c>
      <c r="I10" s="6">
        <v>1506</v>
      </c>
      <c r="J10" s="8">
        <v>0</v>
      </c>
      <c r="K10" s="6">
        <f t="shared" si="1"/>
        <v>2478</v>
      </c>
      <c r="L10" s="9"/>
      <c r="M10" s="5">
        <v>132</v>
      </c>
      <c r="N10" s="6">
        <v>1230</v>
      </c>
      <c r="O10" s="2"/>
    </row>
    <row r="11" spans="1:15" outlineLevel="1" x14ac:dyDescent="0.2">
      <c r="A11" s="20" t="s">
        <v>17</v>
      </c>
      <c r="B11" s="44">
        <v>2005</v>
      </c>
      <c r="C11" s="26">
        <v>497461</v>
      </c>
      <c r="D11" s="36">
        <v>39254</v>
      </c>
      <c r="E11" s="45">
        <f t="shared" si="0"/>
        <v>7.8908698370324507E-2</v>
      </c>
      <c r="F11" s="10"/>
      <c r="G11" s="35">
        <v>486000</v>
      </c>
      <c r="H11" s="36">
        <v>1356</v>
      </c>
      <c r="I11" s="36">
        <v>2170</v>
      </c>
      <c r="J11" s="23">
        <v>0</v>
      </c>
      <c r="K11" s="36">
        <f t="shared" si="1"/>
        <v>3526</v>
      </c>
      <c r="L11" s="10"/>
      <c r="M11" s="35">
        <v>32</v>
      </c>
      <c r="N11" s="36">
        <v>624</v>
      </c>
      <c r="O11" s="2"/>
    </row>
    <row r="12" spans="1:15" outlineLevel="1" x14ac:dyDescent="0.2">
      <c r="A12" s="94" t="s">
        <v>18</v>
      </c>
      <c r="B12" s="3">
        <v>2005</v>
      </c>
      <c r="C12" s="4">
        <v>455418</v>
      </c>
      <c r="D12" s="6">
        <v>39542</v>
      </c>
      <c r="E12" s="7">
        <f t="shared" si="0"/>
        <v>8.6825729329978174E-2</v>
      </c>
      <c r="F12" s="9"/>
      <c r="G12" s="5">
        <v>755000</v>
      </c>
      <c r="H12" s="6">
        <v>2050</v>
      </c>
      <c r="I12" s="6">
        <v>3370</v>
      </c>
      <c r="J12" s="8">
        <v>0</v>
      </c>
      <c r="K12" s="6">
        <f t="shared" si="1"/>
        <v>5420</v>
      </c>
      <c r="L12" s="9"/>
      <c r="M12" s="5">
        <v>44</v>
      </c>
      <c r="N12" s="6">
        <v>735</v>
      </c>
      <c r="O12" s="2"/>
    </row>
    <row r="13" spans="1:15" outlineLevel="1" x14ac:dyDescent="0.2">
      <c r="A13" s="20" t="s">
        <v>19</v>
      </c>
      <c r="B13" s="44">
        <v>2005</v>
      </c>
      <c r="C13" s="26">
        <v>529854</v>
      </c>
      <c r="D13" s="36">
        <v>38903</v>
      </c>
      <c r="E13" s="45">
        <f t="shared" si="0"/>
        <v>7.3422112506464049E-2</v>
      </c>
      <c r="F13" s="10"/>
      <c r="G13" s="35">
        <v>689000</v>
      </c>
      <c r="H13" s="36">
        <v>1880</v>
      </c>
      <c r="I13" s="36">
        <v>3076</v>
      </c>
      <c r="J13" s="23">
        <v>-1766</v>
      </c>
      <c r="K13" s="36">
        <f t="shared" si="1"/>
        <v>3190</v>
      </c>
      <c r="L13" s="10"/>
      <c r="M13" s="35">
        <v>28</v>
      </c>
      <c r="N13" s="36">
        <v>677</v>
      </c>
      <c r="O13" s="2"/>
    </row>
    <row r="14" spans="1:15" outlineLevel="1" x14ac:dyDescent="0.2">
      <c r="A14" s="94" t="s">
        <v>20</v>
      </c>
      <c r="B14" s="3">
        <v>2005</v>
      </c>
      <c r="C14" s="4">
        <v>450990</v>
      </c>
      <c r="D14" s="6">
        <v>32545</v>
      </c>
      <c r="E14" s="7">
        <f t="shared" si="0"/>
        <v>7.2163462604492343E-2</v>
      </c>
      <c r="F14" s="9"/>
      <c r="G14" s="5">
        <v>745000</v>
      </c>
      <c r="H14" s="6">
        <v>2025</v>
      </c>
      <c r="I14" s="6">
        <v>3325</v>
      </c>
      <c r="J14" s="8">
        <v>-1762</v>
      </c>
      <c r="K14" s="6">
        <f t="shared" si="1"/>
        <v>3588</v>
      </c>
      <c r="L14" s="9"/>
      <c r="M14" s="5">
        <v>33</v>
      </c>
      <c r="N14" s="6">
        <v>792</v>
      </c>
      <c r="O14" s="2"/>
    </row>
    <row r="15" spans="1:15" outlineLevel="1" x14ac:dyDescent="0.2">
      <c r="A15" s="20" t="s">
        <v>21</v>
      </c>
      <c r="B15" s="44">
        <v>2005</v>
      </c>
      <c r="C15" s="26">
        <v>364604</v>
      </c>
      <c r="D15" s="36">
        <v>29739</v>
      </c>
      <c r="E15" s="45">
        <f t="shared" si="0"/>
        <v>8.1565204989522883E-2</v>
      </c>
      <c r="F15" s="10"/>
      <c r="G15" s="35">
        <v>531000</v>
      </c>
      <c r="H15" s="36">
        <v>1472</v>
      </c>
      <c r="I15" s="36">
        <v>2371</v>
      </c>
      <c r="J15" s="23">
        <v>-1400</v>
      </c>
      <c r="K15" s="36">
        <f t="shared" si="1"/>
        <v>2443</v>
      </c>
      <c r="L15" s="10"/>
      <c r="M15" s="35">
        <v>106</v>
      </c>
      <c r="N15" s="36">
        <v>1816</v>
      </c>
      <c r="O15" s="2"/>
    </row>
    <row r="16" spans="1:15" outlineLevel="1" x14ac:dyDescent="0.2">
      <c r="A16" s="94" t="s">
        <v>22</v>
      </c>
      <c r="B16" s="3">
        <v>2005</v>
      </c>
      <c r="C16" s="4">
        <v>384293</v>
      </c>
      <c r="D16" s="6">
        <v>30784</v>
      </c>
      <c r="E16" s="7">
        <f t="shared" si="0"/>
        <v>8.0105544467372558E-2</v>
      </c>
      <c r="F16" s="9"/>
      <c r="G16" s="5">
        <v>327000</v>
      </c>
      <c r="H16" s="6">
        <v>946</v>
      </c>
      <c r="I16" s="6">
        <v>1461</v>
      </c>
      <c r="J16" s="8"/>
      <c r="K16" s="6">
        <f t="shared" si="1"/>
        <v>2407</v>
      </c>
      <c r="L16" s="9"/>
      <c r="M16" s="5">
        <v>454</v>
      </c>
      <c r="N16" s="6">
        <v>6625</v>
      </c>
      <c r="O16" s="2"/>
    </row>
    <row r="17" spans="1:15" outlineLevel="1" x14ac:dyDescent="0.2">
      <c r="A17" s="95" t="s">
        <v>23</v>
      </c>
      <c r="B17" s="37">
        <v>2005</v>
      </c>
      <c r="C17" s="38">
        <v>372690</v>
      </c>
      <c r="D17" s="39">
        <v>31989</v>
      </c>
      <c r="E17" s="40">
        <f t="shared" si="0"/>
        <v>8.5832729614424855E-2</v>
      </c>
      <c r="F17" s="20"/>
      <c r="G17" s="41">
        <v>242000</v>
      </c>
      <c r="H17" s="39">
        <v>727</v>
      </c>
      <c r="I17" s="39">
        <v>1082</v>
      </c>
      <c r="J17" s="42">
        <v>-1360</v>
      </c>
      <c r="K17" s="39">
        <f t="shared" si="1"/>
        <v>449</v>
      </c>
      <c r="L17" s="20"/>
      <c r="M17" s="41">
        <v>1039</v>
      </c>
      <c r="N17" s="39">
        <v>14689</v>
      </c>
      <c r="O17" s="2"/>
    </row>
    <row r="18" spans="1:15" x14ac:dyDescent="0.2">
      <c r="A18" s="10"/>
      <c r="B18" s="10"/>
      <c r="C18" s="17">
        <f>SUM(C6:C17)</f>
        <v>4930019</v>
      </c>
      <c r="D18" s="18">
        <f>SUM(D6:D17)</f>
        <v>390733</v>
      </c>
      <c r="E18" s="19">
        <f>AVERAGE(E6:E17)</f>
        <v>7.9434524774654541E-2</v>
      </c>
      <c r="F18" s="20"/>
      <c r="G18" s="21">
        <f>SUM(G6:G17)</f>
        <v>5340000</v>
      </c>
      <c r="H18" s="22">
        <f>SUM(H6:H17)</f>
        <v>14891</v>
      </c>
      <c r="I18" s="22">
        <f>SUM(I6:I17)</f>
        <v>23664</v>
      </c>
      <c r="J18" s="23">
        <f>SUM(J6:J17)</f>
        <v>-6288</v>
      </c>
      <c r="K18" s="18">
        <f>SUM(K6:K17)</f>
        <v>32267</v>
      </c>
      <c r="L18" s="24"/>
      <c r="M18" s="25">
        <f>SUM(M6:M17)</f>
        <v>4100</v>
      </c>
      <c r="N18" s="18">
        <f>SUM(N6:N17)</f>
        <v>47400</v>
      </c>
    </row>
    <row r="19" spans="1:15" x14ac:dyDescent="0.2">
      <c r="A19" s="10"/>
      <c r="B19" s="10"/>
      <c r="C19" s="17"/>
      <c r="D19" s="18"/>
      <c r="E19" s="19"/>
      <c r="F19" s="20"/>
      <c r="G19" s="21"/>
      <c r="H19" s="22"/>
      <c r="I19" s="22"/>
      <c r="J19" s="23"/>
      <c r="K19" s="18"/>
      <c r="L19" s="24"/>
      <c r="M19" s="25"/>
      <c r="N19" s="18"/>
    </row>
    <row r="20" spans="1:15" x14ac:dyDescent="0.2">
      <c r="A20" s="10"/>
      <c r="B20" s="10"/>
      <c r="C20" s="17"/>
      <c r="D20" s="18"/>
      <c r="E20" s="19"/>
      <c r="F20" s="20"/>
      <c r="G20" s="21"/>
      <c r="H20" s="22"/>
      <c r="I20" s="22"/>
      <c r="J20" s="23"/>
      <c r="K20" s="18"/>
      <c r="L20" s="24"/>
      <c r="M20" s="25"/>
      <c r="N20" s="18"/>
    </row>
    <row r="21" spans="1:15" x14ac:dyDescent="0.2">
      <c r="A21" s="10"/>
      <c r="B21" s="10"/>
      <c r="C21" s="26"/>
      <c r="D21" s="27"/>
      <c r="E21" s="28"/>
      <c r="F21" s="28"/>
      <c r="G21" s="26"/>
      <c r="H21" s="27"/>
      <c r="I21" s="27"/>
      <c r="J21" s="29"/>
      <c r="K21" s="27"/>
      <c r="L21" s="10"/>
      <c r="M21" s="26"/>
      <c r="N21" s="27"/>
    </row>
    <row r="22" spans="1:15" x14ac:dyDescent="0.2">
      <c r="A22" s="11">
        <v>2006</v>
      </c>
      <c r="B22" s="10"/>
      <c r="C22" s="10"/>
      <c r="D22" s="10"/>
      <c r="E22" s="10"/>
      <c r="F22" s="10"/>
      <c r="G22" s="10"/>
      <c r="H22" s="12"/>
      <c r="I22" s="12"/>
      <c r="J22" s="10"/>
      <c r="K22" s="10"/>
      <c r="L22" s="10"/>
      <c r="M22" s="12"/>
      <c r="N22" s="10"/>
    </row>
    <row r="23" spans="1:15" x14ac:dyDescent="0.2">
      <c r="A23" s="13" t="s">
        <v>3</v>
      </c>
      <c r="B23" s="14" t="s">
        <v>4</v>
      </c>
      <c r="C23" s="14" t="s">
        <v>5</v>
      </c>
      <c r="D23" s="14" t="s">
        <v>6</v>
      </c>
      <c r="E23" s="15" t="s">
        <v>7</v>
      </c>
      <c r="F23" s="10"/>
      <c r="G23" s="16" t="s">
        <v>8</v>
      </c>
      <c r="H23" s="14" t="s">
        <v>6</v>
      </c>
      <c r="I23" s="14" t="s">
        <v>6</v>
      </c>
      <c r="J23" s="14" t="s">
        <v>9</v>
      </c>
      <c r="K23" s="14" t="s">
        <v>10</v>
      </c>
      <c r="L23" s="10"/>
      <c r="M23" s="14" t="s">
        <v>11</v>
      </c>
      <c r="N23" s="14" t="s">
        <v>6</v>
      </c>
    </row>
    <row r="24" spans="1:15" outlineLevel="1" x14ac:dyDescent="0.2">
      <c r="A24" s="94" t="s">
        <v>12</v>
      </c>
      <c r="B24" s="3">
        <v>2006</v>
      </c>
      <c r="C24" s="4">
        <v>352924</v>
      </c>
      <c r="D24" s="6">
        <v>32341</v>
      </c>
      <c r="E24" s="7">
        <f>+D24/C24</f>
        <v>9.1637293014926721E-2</v>
      </c>
      <c r="F24" s="9"/>
      <c r="G24" s="5">
        <v>199000</v>
      </c>
      <c r="H24" s="6">
        <v>616</v>
      </c>
      <c r="I24" s="6">
        <v>890</v>
      </c>
      <c r="J24" s="8">
        <v>-1454</v>
      </c>
      <c r="K24" s="6">
        <f t="shared" ref="K24:K35" si="2">+H24+I24+J24</f>
        <v>52</v>
      </c>
      <c r="L24" s="9"/>
      <c r="M24" s="5">
        <v>560</v>
      </c>
      <c r="N24" s="6">
        <v>5885</v>
      </c>
      <c r="O24" s="2"/>
    </row>
    <row r="25" spans="1:15" outlineLevel="1" x14ac:dyDescent="0.2">
      <c r="A25" s="20" t="s">
        <v>13</v>
      </c>
      <c r="B25" s="44">
        <v>2006</v>
      </c>
      <c r="C25" s="26">
        <v>357182</v>
      </c>
      <c r="D25" s="36">
        <v>33099</v>
      </c>
      <c r="E25" s="45">
        <f t="shared" ref="E25:E35" si="3">+D25/C25</f>
        <v>9.2667043692011355E-2</v>
      </c>
      <c r="F25" s="10"/>
      <c r="G25" s="35">
        <v>262000</v>
      </c>
      <c r="H25" s="36">
        <v>778</v>
      </c>
      <c r="I25" s="36">
        <v>1171</v>
      </c>
      <c r="J25" s="23">
        <v>-1177</v>
      </c>
      <c r="K25" s="36">
        <f t="shared" si="2"/>
        <v>772</v>
      </c>
      <c r="L25" s="10"/>
      <c r="M25" s="35">
        <v>747</v>
      </c>
      <c r="N25" s="36">
        <v>7728</v>
      </c>
      <c r="O25" s="2"/>
    </row>
    <row r="26" spans="1:15" outlineLevel="1" x14ac:dyDescent="0.2">
      <c r="A26" s="94" t="s">
        <v>14</v>
      </c>
      <c r="B26" s="3">
        <v>2006</v>
      </c>
      <c r="C26" s="4">
        <v>384408</v>
      </c>
      <c r="D26" s="6">
        <v>34779</v>
      </c>
      <c r="E26" s="7">
        <f t="shared" si="3"/>
        <v>9.047418367984017E-2</v>
      </c>
      <c r="F26" s="9"/>
      <c r="G26" s="5">
        <v>237000</v>
      </c>
      <c r="H26" s="6">
        <v>714</v>
      </c>
      <c r="I26" s="6">
        <v>1060</v>
      </c>
      <c r="J26" s="8">
        <v>-687</v>
      </c>
      <c r="K26" s="6">
        <f t="shared" si="2"/>
        <v>1087</v>
      </c>
      <c r="L26" s="9"/>
      <c r="M26" s="5">
        <v>431</v>
      </c>
      <c r="N26" s="6">
        <v>4613</v>
      </c>
      <c r="O26" s="2"/>
    </row>
    <row r="27" spans="1:15" outlineLevel="1" x14ac:dyDescent="0.2">
      <c r="A27" s="20" t="s">
        <v>15</v>
      </c>
      <c r="B27" s="44">
        <v>2006</v>
      </c>
      <c r="C27" s="26">
        <v>396809</v>
      </c>
      <c r="D27" s="36">
        <v>36124</v>
      </c>
      <c r="E27" s="45">
        <f t="shared" si="3"/>
        <v>9.1036241617503635E-2</v>
      </c>
      <c r="F27" s="10"/>
      <c r="G27" s="35">
        <v>365000</v>
      </c>
      <c r="H27" s="36">
        <v>1044</v>
      </c>
      <c r="I27" s="36">
        <v>1631</v>
      </c>
      <c r="J27" s="23">
        <v>-673</v>
      </c>
      <c r="K27" s="36">
        <f t="shared" si="2"/>
        <v>2002</v>
      </c>
      <c r="L27" s="10"/>
      <c r="M27" s="35">
        <v>359</v>
      </c>
      <c r="N27" s="36">
        <v>3903</v>
      </c>
      <c r="O27" s="2"/>
    </row>
    <row r="28" spans="1:15" outlineLevel="1" x14ac:dyDescent="0.2">
      <c r="A28" s="94" t="s">
        <v>16</v>
      </c>
      <c r="B28" s="3">
        <v>2006</v>
      </c>
      <c r="C28" s="4">
        <v>470016</v>
      </c>
      <c r="D28" s="6">
        <v>41651</v>
      </c>
      <c r="E28" s="7">
        <f t="shared" si="3"/>
        <v>8.8616132216775598E-2</v>
      </c>
      <c r="F28" s="9"/>
      <c r="G28" s="5">
        <v>430000</v>
      </c>
      <c r="H28" s="6">
        <v>1255</v>
      </c>
      <c r="I28" s="6">
        <v>1989</v>
      </c>
      <c r="J28" s="8">
        <v>-1109</v>
      </c>
      <c r="K28" s="6">
        <f t="shared" si="2"/>
        <v>2135</v>
      </c>
      <c r="L28" s="9"/>
      <c r="M28" s="5">
        <v>100</v>
      </c>
      <c r="N28" s="6">
        <v>1338</v>
      </c>
      <c r="O28" s="2"/>
    </row>
    <row r="29" spans="1:15" outlineLevel="1" x14ac:dyDescent="0.2">
      <c r="A29" s="20" t="s">
        <v>17</v>
      </c>
      <c r="B29" s="44">
        <v>2006</v>
      </c>
      <c r="C29" s="26">
        <v>467367</v>
      </c>
      <c r="D29" s="36">
        <v>43800</v>
      </c>
      <c r="E29" s="45">
        <f t="shared" si="3"/>
        <v>9.3716501165037325E-2</v>
      </c>
      <c r="F29" s="10"/>
      <c r="G29" s="35">
        <v>600000</v>
      </c>
      <c r="H29" s="36">
        <v>1709</v>
      </c>
      <c r="I29" s="36">
        <v>2775</v>
      </c>
      <c r="J29" s="23">
        <v>-1381</v>
      </c>
      <c r="K29" s="36">
        <f t="shared" si="2"/>
        <v>3103</v>
      </c>
      <c r="L29" s="10"/>
      <c r="M29" s="35">
        <v>161</v>
      </c>
      <c r="N29" s="36">
        <v>1951</v>
      </c>
      <c r="O29" s="2"/>
    </row>
    <row r="30" spans="1:15" outlineLevel="1" x14ac:dyDescent="0.2">
      <c r="A30" s="94" t="s">
        <v>18</v>
      </c>
      <c r="B30" s="3">
        <v>2006</v>
      </c>
      <c r="C30" s="4">
        <v>521773</v>
      </c>
      <c r="D30" s="6">
        <v>47321</v>
      </c>
      <c r="E30" s="7">
        <f t="shared" si="3"/>
        <v>9.0692695865826706E-2</v>
      </c>
      <c r="F30" s="9"/>
      <c r="G30" s="5">
        <v>595000</v>
      </c>
      <c r="H30" s="6">
        <v>1695</v>
      </c>
      <c r="I30" s="6">
        <v>2752</v>
      </c>
      <c r="J30" s="8">
        <v>0</v>
      </c>
      <c r="K30" s="6">
        <f t="shared" si="2"/>
        <v>4447</v>
      </c>
      <c r="L30" s="9"/>
      <c r="M30" s="5">
        <v>180</v>
      </c>
      <c r="N30" s="6">
        <v>2120</v>
      </c>
      <c r="O30" s="2"/>
    </row>
    <row r="31" spans="1:15" outlineLevel="1" x14ac:dyDescent="0.2">
      <c r="A31" s="20" t="s">
        <v>19</v>
      </c>
      <c r="B31" s="44">
        <v>2006</v>
      </c>
      <c r="C31" s="26">
        <v>518705</v>
      </c>
      <c r="D31" s="36">
        <v>47173</v>
      </c>
      <c r="E31" s="45">
        <f t="shared" si="3"/>
        <v>9.0943792714548735E-2</v>
      </c>
      <c r="F31" s="10"/>
      <c r="G31" s="35">
        <v>665000</v>
      </c>
      <c r="H31" s="36">
        <v>1882</v>
      </c>
      <c r="I31" s="36">
        <v>3075</v>
      </c>
      <c r="J31" s="23">
        <v>0</v>
      </c>
      <c r="K31" s="36">
        <f t="shared" si="2"/>
        <v>4957</v>
      </c>
      <c r="L31" s="10"/>
      <c r="M31" s="35">
        <v>89</v>
      </c>
      <c r="N31" s="36">
        <v>1218</v>
      </c>
      <c r="O31" s="2"/>
    </row>
    <row r="32" spans="1:15" outlineLevel="1" x14ac:dyDescent="0.2">
      <c r="A32" s="94" t="s">
        <v>20</v>
      </c>
      <c r="B32" s="3">
        <v>2006</v>
      </c>
      <c r="C32" s="4">
        <v>418328</v>
      </c>
      <c r="D32" s="6">
        <v>38864</v>
      </c>
      <c r="E32" s="7">
        <f t="shared" si="3"/>
        <v>9.2903176454839267E-2</v>
      </c>
      <c r="F32" s="9"/>
      <c r="G32" s="5">
        <v>575000</v>
      </c>
      <c r="H32" s="6">
        <v>1642</v>
      </c>
      <c r="I32" s="6">
        <v>2659</v>
      </c>
      <c r="J32" s="8">
        <v>-1668</v>
      </c>
      <c r="K32" s="6">
        <f t="shared" si="2"/>
        <v>2633</v>
      </c>
      <c r="L32" s="9"/>
      <c r="M32" s="5">
        <v>126</v>
      </c>
      <c r="N32" s="6">
        <v>1511</v>
      </c>
      <c r="O32" s="2"/>
    </row>
    <row r="33" spans="1:15" outlineLevel="1" x14ac:dyDescent="0.2">
      <c r="A33" s="20" t="s">
        <v>21</v>
      </c>
      <c r="B33" s="44">
        <v>2006</v>
      </c>
      <c r="C33" s="26">
        <v>423173</v>
      </c>
      <c r="D33" s="36">
        <v>35216</v>
      </c>
      <c r="E33" s="45">
        <f t="shared" si="3"/>
        <v>8.3218919921639614E-2</v>
      </c>
      <c r="F33" s="10"/>
      <c r="G33" s="35">
        <v>395000</v>
      </c>
      <c r="H33" s="36">
        <v>1161</v>
      </c>
      <c r="I33" s="36">
        <v>1828</v>
      </c>
      <c r="J33" s="23">
        <v>0</v>
      </c>
      <c r="K33" s="36">
        <f t="shared" si="2"/>
        <v>2989</v>
      </c>
      <c r="L33" s="10"/>
      <c r="M33" s="35">
        <v>251</v>
      </c>
      <c r="N33" s="36">
        <v>2659</v>
      </c>
      <c r="O33" s="2"/>
    </row>
    <row r="34" spans="1:15" outlineLevel="1" x14ac:dyDescent="0.2">
      <c r="A34" s="94" t="s">
        <v>22</v>
      </c>
      <c r="B34" s="3">
        <v>2006</v>
      </c>
      <c r="C34" s="4">
        <v>384973</v>
      </c>
      <c r="D34" s="6">
        <v>33317</v>
      </c>
      <c r="E34" s="7">
        <f t="shared" si="3"/>
        <v>8.6543731638322685E-2</v>
      </c>
      <c r="F34" s="9"/>
      <c r="G34" s="5">
        <v>260000</v>
      </c>
      <c r="H34" s="6">
        <v>801</v>
      </c>
      <c r="I34" s="6">
        <v>1204</v>
      </c>
      <c r="J34" s="8">
        <v>-4454</v>
      </c>
      <c r="K34" s="6">
        <f t="shared" si="2"/>
        <v>-2449</v>
      </c>
      <c r="L34" s="9"/>
      <c r="M34" s="5">
        <v>706</v>
      </c>
      <c r="N34" s="6">
        <v>6819</v>
      </c>
      <c r="O34" s="2"/>
    </row>
    <row r="35" spans="1:15" outlineLevel="1" x14ac:dyDescent="0.2">
      <c r="A35" s="95" t="s">
        <v>23</v>
      </c>
      <c r="B35" s="37">
        <v>2006</v>
      </c>
      <c r="C35" s="38">
        <v>396648</v>
      </c>
      <c r="D35" s="39">
        <v>35139</v>
      </c>
      <c r="E35" s="40">
        <f t="shared" si="3"/>
        <v>8.8589883221395299E-2</v>
      </c>
      <c r="F35" s="20"/>
      <c r="G35" s="41">
        <v>245000</v>
      </c>
      <c r="H35" s="39">
        <v>761</v>
      </c>
      <c r="I35" s="39">
        <v>1135</v>
      </c>
      <c r="J35" s="42">
        <v>-965</v>
      </c>
      <c r="K35" s="39">
        <f t="shared" si="2"/>
        <v>931</v>
      </c>
      <c r="L35" s="20"/>
      <c r="M35" s="41">
        <v>1186</v>
      </c>
      <c r="N35" s="39">
        <v>11187</v>
      </c>
      <c r="O35" s="2"/>
    </row>
    <row r="36" spans="1:15" x14ac:dyDescent="0.2">
      <c r="A36" s="10"/>
      <c r="B36" s="10"/>
      <c r="C36" s="17">
        <f>SUM(C24:C35)</f>
        <v>5092306</v>
      </c>
      <c r="D36" s="18">
        <f>SUM(D24:D35)</f>
        <v>458824</v>
      </c>
      <c r="E36" s="19">
        <f>AVERAGE(E24:E35)</f>
        <v>9.0086632933555608E-2</v>
      </c>
      <c r="F36" s="20"/>
      <c r="G36" s="21">
        <f>SUM(G24:G35)</f>
        <v>4828000</v>
      </c>
      <c r="H36" s="22">
        <f>SUM(H24:H35)</f>
        <v>14058</v>
      </c>
      <c r="I36" s="22">
        <f>SUM(I24:I35)</f>
        <v>22169</v>
      </c>
      <c r="J36" s="23">
        <f>SUM(J24:J35)</f>
        <v>-13568</v>
      </c>
      <c r="K36" s="18">
        <f>SUM(K24:K35)</f>
        <v>22659</v>
      </c>
      <c r="L36" s="24"/>
      <c r="M36" s="25">
        <f>SUM(M24:M35)</f>
        <v>4896</v>
      </c>
      <c r="N36" s="18">
        <f>SUM(N24:N35)</f>
        <v>50932</v>
      </c>
    </row>
    <row r="37" spans="1:15" x14ac:dyDescent="0.2">
      <c r="A37" s="10"/>
      <c r="B37" s="10"/>
      <c r="C37" s="17"/>
      <c r="D37" s="18"/>
      <c r="E37" s="19"/>
      <c r="F37" s="20"/>
      <c r="G37" s="21"/>
      <c r="H37" s="22"/>
      <c r="I37" s="22"/>
      <c r="J37" s="23"/>
      <c r="K37" s="18"/>
      <c r="L37" s="24"/>
      <c r="M37" s="25"/>
      <c r="N37" s="18"/>
    </row>
    <row r="38" spans="1:15" x14ac:dyDescent="0.2">
      <c r="A38" s="10"/>
      <c r="B38" s="10"/>
      <c r="C38" s="17"/>
      <c r="D38" s="18"/>
      <c r="E38" s="19"/>
      <c r="F38" s="20"/>
      <c r="G38" s="21"/>
      <c r="H38" s="22"/>
      <c r="I38" s="22"/>
      <c r="J38" s="23"/>
      <c r="K38" s="18"/>
      <c r="L38" s="24"/>
      <c r="M38" s="25"/>
      <c r="N38" s="18"/>
    </row>
    <row r="39" spans="1:15" x14ac:dyDescent="0.2">
      <c r="A39" s="10"/>
      <c r="B39" s="10"/>
      <c r="C39" s="26"/>
      <c r="D39" s="27"/>
      <c r="E39" s="28"/>
      <c r="F39" s="28"/>
      <c r="G39" s="26"/>
      <c r="H39" s="27"/>
      <c r="I39" s="27"/>
      <c r="J39" s="29"/>
      <c r="K39" s="27"/>
      <c r="L39" s="10"/>
      <c r="M39" s="26"/>
      <c r="N39" s="27"/>
    </row>
    <row r="40" spans="1:15" x14ac:dyDescent="0.2">
      <c r="A40" s="11">
        <v>2007</v>
      </c>
      <c r="B40" s="10"/>
      <c r="C40" s="10"/>
      <c r="D40" s="10"/>
      <c r="E40" s="10"/>
      <c r="F40" s="10"/>
      <c r="G40" s="10"/>
      <c r="H40" s="12"/>
      <c r="I40" s="12"/>
      <c r="J40" s="10"/>
      <c r="K40" s="10"/>
      <c r="L40" s="10"/>
      <c r="M40" s="12"/>
      <c r="N40" s="10"/>
    </row>
    <row r="41" spans="1:15" x14ac:dyDescent="0.2">
      <c r="A41" s="13" t="s">
        <v>3</v>
      </c>
      <c r="B41" s="14" t="s">
        <v>4</v>
      </c>
      <c r="C41" s="14" t="s">
        <v>5</v>
      </c>
      <c r="D41" s="14" t="s">
        <v>6</v>
      </c>
      <c r="E41" s="15" t="s">
        <v>7</v>
      </c>
      <c r="F41" s="10"/>
      <c r="G41" s="16" t="s">
        <v>8</v>
      </c>
      <c r="H41" s="14" t="s">
        <v>6</v>
      </c>
      <c r="I41" s="14" t="s">
        <v>6</v>
      </c>
      <c r="J41" s="14" t="s">
        <v>9</v>
      </c>
      <c r="K41" s="14" t="s">
        <v>10</v>
      </c>
      <c r="L41" s="10"/>
      <c r="M41" s="14" t="s">
        <v>11</v>
      </c>
      <c r="N41" s="14" t="s">
        <v>6</v>
      </c>
    </row>
    <row r="42" spans="1:15" outlineLevel="1" x14ac:dyDescent="0.2">
      <c r="A42" s="94" t="s">
        <v>12</v>
      </c>
      <c r="B42" s="3">
        <v>2007</v>
      </c>
      <c r="C42" s="4">
        <v>413121</v>
      </c>
      <c r="D42" s="6">
        <v>47873</v>
      </c>
      <c r="E42" s="7">
        <f>+D42/C42</f>
        <v>0.11588130354060917</v>
      </c>
      <c r="F42" s="9"/>
      <c r="G42" s="5">
        <v>180000</v>
      </c>
      <c r="H42" s="6">
        <v>587</v>
      </c>
      <c r="I42" s="6">
        <v>834</v>
      </c>
      <c r="J42" s="8">
        <v>-651</v>
      </c>
      <c r="K42" s="6">
        <f t="shared" ref="K42:K53" si="4">+H42+I42+J42</f>
        <v>770</v>
      </c>
      <c r="L42" s="9"/>
      <c r="M42" s="5">
        <v>1354</v>
      </c>
      <c r="N42" s="6">
        <v>12967</v>
      </c>
      <c r="O42" s="2"/>
    </row>
    <row r="43" spans="1:15" outlineLevel="1" x14ac:dyDescent="0.2">
      <c r="A43" s="20" t="s">
        <v>13</v>
      </c>
      <c r="B43" s="44">
        <v>2007</v>
      </c>
      <c r="C43" s="26">
        <v>384252</v>
      </c>
      <c r="D43" s="36">
        <v>44609</v>
      </c>
      <c r="E43" s="45">
        <f t="shared" ref="E43:E53" si="5">+D43/C43</f>
        <v>0.11609308474646847</v>
      </c>
      <c r="F43" s="10"/>
      <c r="G43" s="35">
        <v>125000</v>
      </c>
      <c r="H43" s="36">
        <v>580</v>
      </c>
      <c r="I43" s="36">
        <v>440</v>
      </c>
      <c r="J43" s="23">
        <v>0</v>
      </c>
      <c r="K43" s="36">
        <f t="shared" si="4"/>
        <v>1020</v>
      </c>
      <c r="L43" s="10"/>
      <c r="M43" s="35">
        <v>1010</v>
      </c>
      <c r="N43" s="36">
        <v>9792</v>
      </c>
      <c r="O43" s="2"/>
    </row>
    <row r="44" spans="1:15" outlineLevel="1" x14ac:dyDescent="0.2">
      <c r="A44" s="94" t="s">
        <v>14</v>
      </c>
      <c r="B44" s="3">
        <v>2007</v>
      </c>
      <c r="C44" s="4">
        <v>404222</v>
      </c>
      <c r="D44" s="6">
        <v>46714</v>
      </c>
      <c r="E44" s="7">
        <f t="shared" si="5"/>
        <v>0.11556520921671755</v>
      </c>
      <c r="F44" s="9"/>
      <c r="G44" s="5">
        <v>145000</v>
      </c>
      <c r="H44" s="6">
        <v>494</v>
      </c>
      <c r="I44" s="6">
        <v>673</v>
      </c>
      <c r="J44" s="8">
        <v>0</v>
      </c>
      <c r="K44" s="6">
        <f t="shared" si="4"/>
        <v>1167</v>
      </c>
      <c r="L44" s="9"/>
      <c r="M44" s="5">
        <v>395</v>
      </c>
      <c r="N44" s="6">
        <v>4052</v>
      </c>
      <c r="O44" s="2"/>
    </row>
    <row r="45" spans="1:15" outlineLevel="1" x14ac:dyDescent="0.2">
      <c r="A45" s="20" t="s">
        <v>15</v>
      </c>
      <c r="B45" s="44">
        <v>2007</v>
      </c>
      <c r="C45" s="26">
        <v>418057</v>
      </c>
      <c r="D45" s="36">
        <v>41987</v>
      </c>
      <c r="E45" s="45">
        <f t="shared" si="5"/>
        <v>0.10043367292019988</v>
      </c>
      <c r="F45" s="10"/>
      <c r="G45" s="35">
        <v>300000</v>
      </c>
      <c r="H45" s="36">
        <v>908</v>
      </c>
      <c r="I45" s="36">
        <v>1389</v>
      </c>
      <c r="J45" s="23">
        <v>0</v>
      </c>
      <c r="K45" s="36">
        <f t="shared" si="4"/>
        <v>2297</v>
      </c>
      <c r="L45" s="10"/>
      <c r="M45" s="35">
        <v>197</v>
      </c>
      <c r="N45" s="36">
        <v>2204</v>
      </c>
      <c r="O45" s="2"/>
    </row>
    <row r="46" spans="1:15" outlineLevel="1" x14ac:dyDescent="0.2">
      <c r="A46" s="94" t="s">
        <v>16</v>
      </c>
      <c r="B46" s="3">
        <v>2007</v>
      </c>
      <c r="C46" s="4">
        <v>447497</v>
      </c>
      <c r="D46" s="6">
        <v>44152</v>
      </c>
      <c r="E46" s="7">
        <f t="shared" si="5"/>
        <v>9.8664348587811757E-2</v>
      </c>
      <c r="F46" s="9"/>
      <c r="G46" s="5">
        <v>275000</v>
      </c>
      <c r="H46" s="6">
        <v>864</v>
      </c>
      <c r="I46" s="6">
        <v>1306</v>
      </c>
      <c r="J46" s="8">
        <v>-638</v>
      </c>
      <c r="K46" s="6">
        <f t="shared" si="4"/>
        <v>1532</v>
      </c>
      <c r="L46" s="9"/>
      <c r="M46" s="5">
        <v>25</v>
      </c>
      <c r="N46" s="6">
        <v>575</v>
      </c>
      <c r="O46" s="2"/>
    </row>
    <row r="47" spans="1:15" outlineLevel="1" x14ac:dyDescent="0.2">
      <c r="A47" s="20" t="s">
        <v>17</v>
      </c>
      <c r="B47" s="44">
        <v>2007</v>
      </c>
      <c r="C47" s="26">
        <v>509249</v>
      </c>
      <c r="D47" s="36">
        <v>49617</v>
      </c>
      <c r="E47" s="45">
        <f t="shared" si="5"/>
        <v>9.7431708260595509E-2</v>
      </c>
      <c r="F47" s="10"/>
      <c r="G47" s="35">
        <v>390000</v>
      </c>
      <c r="H47" s="36">
        <v>1179</v>
      </c>
      <c r="I47" s="36">
        <v>1852</v>
      </c>
      <c r="J47" s="23">
        <v>-1502</v>
      </c>
      <c r="K47" s="36">
        <f t="shared" si="4"/>
        <v>1529</v>
      </c>
      <c r="L47" s="10"/>
      <c r="M47" s="35">
        <v>20</v>
      </c>
      <c r="N47" s="36">
        <v>514</v>
      </c>
      <c r="O47" s="2"/>
    </row>
    <row r="48" spans="1:15" outlineLevel="1" x14ac:dyDescent="0.2">
      <c r="A48" s="94" t="s">
        <v>18</v>
      </c>
      <c r="B48" s="3">
        <v>2007</v>
      </c>
      <c r="C48" s="4">
        <v>535238</v>
      </c>
      <c r="D48" s="6">
        <v>51797</v>
      </c>
      <c r="E48" s="7">
        <f t="shared" si="5"/>
        <v>9.67737716679309E-2</v>
      </c>
      <c r="F48" s="9"/>
      <c r="G48" s="5">
        <v>450000</v>
      </c>
      <c r="H48" s="6">
        <v>2136</v>
      </c>
      <c r="I48" s="6">
        <v>1343</v>
      </c>
      <c r="J48" s="8">
        <v>-1247</v>
      </c>
      <c r="K48" s="6">
        <f t="shared" si="4"/>
        <v>2232</v>
      </c>
      <c r="L48" s="9"/>
      <c r="M48" s="5">
        <v>26</v>
      </c>
      <c r="N48" s="6">
        <v>570</v>
      </c>
      <c r="O48" s="2"/>
    </row>
    <row r="49" spans="1:15" outlineLevel="1" x14ac:dyDescent="0.2">
      <c r="A49" s="20" t="s">
        <v>19</v>
      </c>
      <c r="B49" s="44">
        <v>2007</v>
      </c>
      <c r="C49" s="26">
        <v>514548</v>
      </c>
      <c r="D49" s="36">
        <v>50838</v>
      </c>
      <c r="E49" s="45">
        <f t="shared" si="5"/>
        <v>9.8801278014879076E-2</v>
      </c>
      <c r="F49" s="10"/>
      <c r="G49" s="35">
        <v>540000</v>
      </c>
      <c r="H49" s="36">
        <v>1590</v>
      </c>
      <c r="I49" s="36">
        <v>2563</v>
      </c>
      <c r="J49" s="23">
        <v>-1346</v>
      </c>
      <c r="K49" s="36">
        <f t="shared" si="4"/>
        <v>2807</v>
      </c>
      <c r="L49" s="10"/>
      <c r="M49" s="35">
        <v>20</v>
      </c>
      <c r="N49" s="36">
        <v>546</v>
      </c>
      <c r="O49" s="2"/>
    </row>
    <row r="50" spans="1:15" outlineLevel="1" x14ac:dyDescent="0.2">
      <c r="A50" s="94" t="s">
        <v>20</v>
      </c>
      <c r="B50" s="3">
        <v>2007</v>
      </c>
      <c r="C50" s="4">
        <v>457674</v>
      </c>
      <c r="D50" s="6">
        <v>46180</v>
      </c>
      <c r="E50" s="7">
        <f t="shared" si="5"/>
        <v>0.10090151505219873</v>
      </c>
      <c r="F50" s="9"/>
      <c r="G50" s="5">
        <v>460000</v>
      </c>
      <c r="H50" s="6">
        <v>1370</v>
      </c>
      <c r="I50" s="6">
        <v>2183</v>
      </c>
      <c r="J50" s="8">
        <v>0</v>
      </c>
      <c r="K50" s="6">
        <f t="shared" si="4"/>
        <v>3553</v>
      </c>
      <c r="L50" s="9"/>
      <c r="M50" s="5">
        <v>23</v>
      </c>
      <c r="N50" s="6">
        <v>579</v>
      </c>
      <c r="O50" s="2"/>
    </row>
    <row r="51" spans="1:15" outlineLevel="1" x14ac:dyDescent="0.2">
      <c r="A51" s="20" t="s">
        <v>21</v>
      </c>
      <c r="B51" s="44">
        <v>2007</v>
      </c>
      <c r="C51" s="26">
        <v>457684</v>
      </c>
      <c r="D51" s="36">
        <v>46514</v>
      </c>
      <c r="E51" s="45">
        <f t="shared" si="5"/>
        <v>0.10162907158650947</v>
      </c>
      <c r="F51" s="10"/>
      <c r="G51" s="35">
        <v>465000</v>
      </c>
      <c r="H51" s="36">
        <v>1384</v>
      </c>
      <c r="I51" s="36">
        <v>2207</v>
      </c>
      <c r="J51" s="23">
        <v>-3460</v>
      </c>
      <c r="K51" s="36">
        <f t="shared" si="4"/>
        <v>131</v>
      </c>
      <c r="L51" s="10"/>
      <c r="M51" s="35">
        <v>337</v>
      </c>
      <c r="N51" s="36">
        <v>4002</v>
      </c>
      <c r="O51" s="2"/>
    </row>
    <row r="52" spans="1:15" outlineLevel="1" x14ac:dyDescent="0.2">
      <c r="A52" s="94" t="s">
        <v>22</v>
      </c>
      <c r="B52" s="3">
        <v>2007</v>
      </c>
      <c r="C52" s="4">
        <v>460499</v>
      </c>
      <c r="D52" s="6">
        <v>45563</v>
      </c>
      <c r="E52" s="7">
        <f t="shared" si="5"/>
        <v>9.8942668713721413E-2</v>
      </c>
      <c r="F52" s="9"/>
      <c r="G52" s="5">
        <v>360000</v>
      </c>
      <c r="H52" s="6">
        <v>1096</v>
      </c>
      <c r="I52" s="6">
        <v>1709</v>
      </c>
      <c r="J52" s="8">
        <v>-891</v>
      </c>
      <c r="K52" s="6">
        <f t="shared" si="4"/>
        <v>1914</v>
      </c>
      <c r="L52" s="9"/>
      <c r="M52" s="5">
        <v>851</v>
      </c>
      <c r="N52" s="6">
        <v>9558</v>
      </c>
      <c r="O52" s="2"/>
    </row>
    <row r="53" spans="1:15" outlineLevel="1" x14ac:dyDescent="0.2">
      <c r="A53" s="95" t="s">
        <v>23</v>
      </c>
      <c r="B53" s="37">
        <v>2007</v>
      </c>
      <c r="C53" s="38">
        <v>417589</v>
      </c>
      <c r="D53" s="39">
        <v>45936.08</v>
      </c>
      <c r="E53" s="40">
        <f t="shared" si="5"/>
        <v>0.11000308916183138</v>
      </c>
      <c r="F53" s="20"/>
      <c r="G53" s="41">
        <v>180000</v>
      </c>
      <c r="H53" s="39">
        <v>603</v>
      </c>
      <c r="I53" s="39">
        <v>856</v>
      </c>
      <c r="J53" s="42">
        <v>-1043</v>
      </c>
      <c r="K53" s="39">
        <f t="shared" si="4"/>
        <v>416</v>
      </c>
      <c r="L53" s="20"/>
      <c r="M53" s="41">
        <v>1262</v>
      </c>
      <c r="N53" s="39">
        <v>13974</v>
      </c>
    </row>
    <row r="54" spans="1:15" x14ac:dyDescent="0.2">
      <c r="A54" s="10"/>
      <c r="B54" s="10"/>
      <c r="C54" s="17">
        <f>SUM(C42:C53)</f>
        <v>5419630</v>
      </c>
      <c r="D54" s="18">
        <f>SUM(D42:D53)</f>
        <v>561780.07999999996</v>
      </c>
      <c r="E54" s="19">
        <f>AVERAGE(E42:E53)</f>
        <v>0.10426006012245609</v>
      </c>
      <c r="F54" s="20"/>
      <c r="G54" s="21">
        <f>SUM(G42:G53)</f>
        <v>3870000</v>
      </c>
      <c r="H54" s="22">
        <f>SUM(H42:H53)</f>
        <v>12791</v>
      </c>
      <c r="I54" s="22">
        <f>SUM(I42:I53)</f>
        <v>17355</v>
      </c>
      <c r="J54" s="23">
        <f>SUM(J42:J53)</f>
        <v>-10778</v>
      </c>
      <c r="K54" s="18">
        <f>SUM(K42:K53)</f>
        <v>19368</v>
      </c>
      <c r="L54" s="24"/>
      <c r="M54" s="25">
        <f>SUM(M42:M53)</f>
        <v>5520</v>
      </c>
      <c r="N54" s="18">
        <f>SUM(N42:N53)</f>
        <v>59333</v>
      </c>
    </row>
    <row r="55" spans="1:15" x14ac:dyDescent="0.2">
      <c r="A55" s="10"/>
      <c r="B55" s="10"/>
      <c r="C55" s="17"/>
      <c r="D55" s="18"/>
      <c r="E55" s="19"/>
      <c r="F55" s="20"/>
      <c r="G55" s="21"/>
      <c r="H55" s="22"/>
      <c r="I55" s="22"/>
      <c r="J55" s="23"/>
      <c r="K55" s="18"/>
      <c r="L55" s="24"/>
      <c r="M55" s="25"/>
      <c r="N55" s="18"/>
    </row>
    <row r="56" spans="1:15" x14ac:dyDescent="0.2">
      <c r="A56" s="10"/>
      <c r="B56" s="10"/>
      <c r="C56" s="17"/>
      <c r="D56" s="18"/>
      <c r="E56" s="19"/>
      <c r="F56" s="20"/>
      <c r="G56" s="21"/>
      <c r="H56" s="22"/>
      <c r="I56" s="22"/>
      <c r="J56" s="23"/>
      <c r="K56" s="18"/>
      <c r="L56" s="24"/>
      <c r="M56" s="25"/>
      <c r="N56" s="18"/>
    </row>
    <row r="57" spans="1:15" x14ac:dyDescent="0.2">
      <c r="A57" s="10"/>
      <c r="B57" s="10"/>
      <c r="C57" s="26"/>
      <c r="D57" s="27"/>
      <c r="E57" s="28"/>
      <c r="F57" s="28"/>
      <c r="G57" s="26"/>
      <c r="H57" s="27"/>
      <c r="I57" s="27"/>
      <c r="J57" s="29"/>
      <c r="K57" s="27"/>
      <c r="L57" s="10"/>
      <c r="M57" s="26"/>
      <c r="N57" s="27"/>
    </row>
    <row r="58" spans="1:15" x14ac:dyDescent="0.2">
      <c r="A58" s="11">
        <v>2008</v>
      </c>
      <c r="B58" s="10"/>
      <c r="C58" s="10"/>
      <c r="D58" s="10"/>
      <c r="E58" s="10"/>
      <c r="F58" s="10"/>
      <c r="G58" s="10"/>
      <c r="H58" s="12" t="s">
        <v>0</v>
      </c>
      <c r="I58" s="12" t="s">
        <v>1</v>
      </c>
      <c r="J58" s="10"/>
      <c r="K58" s="10"/>
      <c r="L58" s="10"/>
      <c r="M58" s="12" t="s">
        <v>2</v>
      </c>
      <c r="N58" s="10"/>
    </row>
    <row r="59" spans="1:15" x14ac:dyDescent="0.2">
      <c r="A59" s="13" t="s">
        <v>3</v>
      </c>
      <c r="B59" s="14" t="s">
        <v>4</v>
      </c>
      <c r="C59" s="14" t="s">
        <v>5</v>
      </c>
      <c r="D59" s="14" t="s">
        <v>6</v>
      </c>
      <c r="E59" s="15" t="s">
        <v>7</v>
      </c>
      <c r="F59" s="10"/>
      <c r="G59" s="16" t="s">
        <v>8</v>
      </c>
      <c r="H59" s="14" t="s">
        <v>6</v>
      </c>
      <c r="I59" s="14" t="s">
        <v>6</v>
      </c>
      <c r="J59" s="14" t="s">
        <v>9</v>
      </c>
      <c r="K59" s="14" t="s">
        <v>10</v>
      </c>
      <c r="L59" s="10"/>
      <c r="M59" s="14" t="s">
        <v>11</v>
      </c>
      <c r="N59" s="14" t="s">
        <v>6</v>
      </c>
    </row>
    <row r="60" spans="1:15" outlineLevel="1" x14ac:dyDescent="0.2">
      <c r="A60" s="94" t="s">
        <v>12</v>
      </c>
      <c r="B60" s="3">
        <v>2008</v>
      </c>
      <c r="C60" s="4">
        <v>400311</v>
      </c>
      <c r="D60" s="6">
        <v>44883.5</v>
      </c>
      <c r="E60" s="7">
        <f t="shared" ref="E60:E68" si="6">+D60/C60</f>
        <v>0.11212157547506814</v>
      </c>
      <c r="F60" s="9"/>
      <c r="G60" s="5">
        <v>190000</v>
      </c>
      <c r="H60" s="6">
        <v>630.67999999999995</v>
      </c>
      <c r="I60" s="6">
        <v>903.58</v>
      </c>
      <c r="J60" s="8">
        <v>0</v>
      </c>
      <c r="K60" s="6">
        <v>1534.26</v>
      </c>
      <c r="L60" s="9"/>
      <c r="M60" s="5">
        <v>1140</v>
      </c>
      <c r="N60" s="6">
        <v>13481.93</v>
      </c>
    </row>
    <row r="61" spans="1:15" outlineLevel="1" x14ac:dyDescent="0.2">
      <c r="A61" s="20" t="s">
        <v>13</v>
      </c>
      <c r="B61" s="44">
        <v>2008</v>
      </c>
      <c r="C61" s="26">
        <v>400976</v>
      </c>
      <c r="D61" s="36">
        <v>44712.480000000003</v>
      </c>
      <c r="E61" s="45">
        <f t="shared" si="6"/>
        <v>0.11150911775268346</v>
      </c>
      <c r="F61" s="10"/>
      <c r="G61" s="35">
        <v>755000</v>
      </c>
      <c r="H61" s="36">
        <v>2178.7800000000002</v>
      </c>
      <c r="I61" s="36">
        <v>3581.68</v>
      </c>
      <c r="J61" s="23">
        <v>0</v>
      </c>
      <c r="K61" s="36">
        <v>5760.46</v>
      </c>
      <c r="L61" s="10"/>
      <c r="M61" s="35">
        <v>811</v>
      </c>
      <c r="N61" s="36">
        <v>9705.1299999999992</v>
      </c>
    </row>
    <row r="62" spans="1:15" outlineLevel="1" x14ac:dyDescent="0.2">
      <c r="A62" s="94" t="s">
        <v>14</v>
      </c>
      <c r="B62" s="3">
        <v>2008</v>
      </c>
      <c r="C62" s="4">
        <v>400192</v>
      </c>
      <c r="D62" s="6">
        <v>44785</v>
      </c>
      <c r="E62" s="7">
        <f t="shared" si="6"/>
        <v>0.11190878378378379</v>
      </c>
      <c r="F62" s="9"/>
      <c r="G62" s="5">
        <v>215000</v>
      </c>
      <c r="H62" s="6">
        <v>699.18</v>
      </c>
      <c r="I62" s="6">
        <v>1062.08</v>
      </c>
      <c r="J62" s="8">
        <v>-2151.96</v>
      </c>
      <c r="K62" s="6">
        <v>-390.7</v>
      </c>
      <c r="L62" s="9"/>
      <c r="M62" s="5">
        <v>723</v>
      </c>
      <c r="N62" s="6">
        <v>8691.56</v>
      </c>
    </row>
    <row r="63" spans="1:15" outlineLevel="1" x14ac:dyDescent="0.2">
      <c r="A63" s="20" t="s">
        <v>15</v>
      </c>
      <c r="B63" s="44">
        <v>2008</v>
      </c>
      <c r="C63" s="26">
        <v>436090</v>
      </c>
      <c r="D63" s="36">
        <v>42690</v>
      </c>
      <c r="E63" s="45">
        <f t="shared" si="6"/>
        <v>9.7892636841019051E-2</v>
      </c>
      <c r="F63" s="10"/>
      <c r="G63" s="35">
        <v>225000</v>
      </c>
      <c r="H63" s="36">
        <v>726.58</v>
      </c>
      <c r="I63" s="36">
        <v>1069.48</v>
      </c>
      <c r="J63" s="23">
        <v>0</v>
      </c>
      <c r="K63" s="36">
        <v>1405.36</v>
      </c>
      <c r="L63" s="10"/>
      <c r="M63" s="35">
        <v>129</v>
      </c>
      <c r="N63" s="36">
        <v>1840.83</v>
      </c>
    </row>
    <row r="64" spans="1:15" outlineLevel="1" x14ac:dyDescent="0.2">
      <c r="A64" s="94" t="s">
        <v>16</v>
      </c>
      <c r="B64" s="3">
        <v>2008</v>
      </c>
      <c r="C64" s="4">
        <v>464737</v>
      </c>
      <c r="D64" s="6">
        <v>44236.32</v>
      </c>
      <c r="E64" s="7">
        <f t="shared" si="6"/>
        <v>9.5185707184923946E-2</v>
      </c>
      <c r="F64" s="9"/>
      <c r="G64" s="5">
        <v>295000</v>
      </c>
      <c r="H64" s="6">
        <v>1013.32</v>
      </c>
      <c r="I64" s="6">
        <v>1424.94</v>
      </c>
      <c r="J64" s="8">
        <v>-3602</v>
      </c>
      <c r="K64" s="6">
        <v>-1163.94</v>
      </c>
      <c r="L64" s="9"/>
      <c r="M64" s="5">
        <v>28</v>
      </c>
      <c r="N64" s="6">
        <v>746.4</v>
      </c>
    </row>
    <row r="65" spans="1:14" outlineLevel="1" x14ac:dyDescent="0.2">
      <c r="A65" s="20" t="s">
        <v>17</v>
      </c>
      <c r="B65" s="44">
        <v>2008</v>
      </c>
      <c r="C65" s="26">
        <v>530940</v>
      </c>
      <c r="D65" s="36">
        <v>49719.81</v>
      </c>
      <c r="E65" s="45">
        <f t="shared" si="6"/>
        <v>9.3644875127133001E-2</v>
      </c>
      <c r="F65" s="10"/>
      <c r="G65" s="35">
        <v>545000</v>
      </c>
      <c r="H65" s="36">
        <v>1628.32</v>
      </c>
      <c r="I65" s="36">
        <v>3303.02</v>
      </c>
      <c r="J65" s="23">
        <v>-1204</v>
      </c>
      <c r="K65" s="36">
        <v>3727.4</v>
      </c>
      <c r="L65" s="10"/>
      <c r="M65" s="35">
        <v>20</v>
      </c>
      <c r="N65" s="36">
        <v>625.30999999999995</v>
      </c>
    </row>
    <row r="66" spans="1:14" outlineLevel="1" x14ac:dyDescent="0.2">
      <c r="A66" s="94" t="s">
        <v>18</v>
      </c>
      <c r="B66" s="3">
        <v>2008</v>
      </c>
      <c r="C66" s="4">
        <v>521654</v>
      </c>
      <c r="D66" s="6">
        <v>50404.57</v>
      </c>
      <c r="E66" s="7">
        <f t="shared" si="6"/>
        <v>9.6624525068340322E-2</v>
      </c>
      <c r="F66" s="9"/>
      <c r="G66" s="5">
        <v>630000</v>
      </c>
      <c r="H66" s="6">
        <v>1864.62</v>
      </c>
      <c r="I66" s="6">
        <v>3079.64</v>
      </c>
      <c r="J66" s="8">
        <v>-901</v>
      </c>
      <c r="K66" s="6">
        <v>4042.92</v>
      </c>
      <c r="L66" s="9"/>
      <c r="M66" s="5">
        <v>22</v>
      </c>
      <c r="N66" s="6">
        <v>655.36</v>
      </c>
    </row>
    <row r="67" spans="1:14" outlineLevel="1" x14ac:dyDescent="0.2">
      <c r="A67" s="20" t="s">
        <v>19</v>
      </c>
      <c r="B67" s="44">
        <v>2008</v>
      </c>
      <c r="C67" s="26">
        <v>503189</v>
      </c>
      <c r="D67" s="36">
        <v>48608.04</v>
      </c>
      <c r="E67" s="45">
        <f t="shared" si="6"/>
        <v>9.6599965420547745E-2</v>
      </c>
      <c r="F67" s="10"/>
      <c r="G67" s="35">
        <v>605000</v>
      </c>
      <c r="H67" s="36">
        <v>1815.12</v>
      </c>
      <c r="I67" s="36">
        <v>2939.14</v>
      </c>
      <c r="J67" s="23">
        <v>-1460</v>
      </c>
      <c r="K67" s="36">
        <v>3293.8</v>
      </c>
      <c r="L67" s="10"/>
      <c r="M67" s="35">
        <v>15</v>
      </c>
      <c r="N67" s="36">
        <v>525.91999999999996</v>
      </c>
    </row>
    <row r="68" spans="1:14" outlineLevel="1" x14ac:dyDescent="0.2">
      <c r="A68" s="94" t="s">
        <v>20</v>
      </c>
      <c r="B68" s="3">
        <v>2008</v>
      </c>
      <c r="C68" s="4">
        <v>328192</v>
      </c>
      <c r="D68" s="6">
        <v>35114.129999999997</v>
      </c>
      <c r="E68" s="7">
        <f t="shared" si="6"/>
        <v>0.10699264454953197</v>
      </c>
      <c r="F68" s="9"/>
      <c r="G68" s="5">
        <v>425000</v>
      </c>
      <c r="H68" s="6">
        <v>1334.72</v>
      </c>
      <c r="I68" s="6">
        <v>2091.54</v>
      </c>
      <c r="J68" s="8">
        <v>-3437</v>
      </c>
      <c r="K68" s="6">
        <v>-10.4</v>
      </c>
      <c r="L68" s="9"/>
      <c r="M68" s="5">
        <v>25</v>
      </c>
      <c r="N68" s="6">
        <v>660.03</v>
      </c>
    </row>
    <row r="69" spans="1:14" outlineLevel="1" x14ac:dyDescent="0.2">
      <c r="A69" s="20" t="s">
        <v>21</v>
      </c>
      <c r="B69" s="44">
        <v>2008</v>
      </c>
      <c r="C69" s="26">
        <v>450327</v>
      </c>
      <c r="D69" s="36">
        <v>45169.52</v>
      </c>
      <c r="E69" s="45">
        <f>+D69/C69</f>
        <v>0.10030382366591388</v>
      </c>
      <c r="F69" s="10"/>
      <c r="G69" s="35">
        <v>330000</v>
      </c>
      <c r="H69" s="36">
        <v>1050.6199999999999</v>
      </c>
      <c r="I69" s="36">
        <v>1613.64</v>
      </c>
      <c r="J69" s="23">
        <v>-1538</v>
      </c>
      <c r="K69" s="36">
        <v>1116.28</v>
      </c>
      <c r="L69" s="10"/>
      <c r="M69" s="35">
        <v>20</v>
      </c>
      <c r="N69" s="36">
        <v>625.30999999999995</v>
      </c>
    </row>
    <row r="70" spans="1:14" outlineLevel="1" x14ac:dyDescent="0.2">
      <c r="A70" s="94" t="s">
        <v>22</v>
      </c>
      <c r="B70" s="3">
        <v>2008</v>
      </c>
      <c r="C70" s="4">
        <v>402852</v>
      </c>
      <c r="D70" s="6">
        <v>43531.01</v>
      </c>
      <c r="E70" s="7">
        <f>+D70/C70</f>
        <v>0.10805707803362029</v>
      </c>
      <c r="F70" s="9"/>
      <c r="G70" s="5">
        <v>255000</v>
      </c>
      <c r="H70" s="6">
        <v>822.12</v>
      </c>
      <c r="I70" s="6">
        <v>1272.1400000000001</v>
      </c>
      <c r="J70" s="8">
        <v>-815</v>
      </c>
      <c r="K70" s="6">
        <v>1279.68</v>
      </c>
      <c r="L70" s="9"/>
      <c r="M70" s="5">
        <v>587</v>
      </c>
      <c r="N70" s="6">
        <v>8099.24</v>
      </c>
    </row>
    <row r="71" spans="1:14" outlineLevel="1" x14ac:dyDescent="0.2">
      <c r="A71" s="95" t="s">
        <v>23</v>
      </c>
      <c r="B71" s="37">
        <v>2008</v>
      </c>
      <c r="C71" s="38">
        <v>402852</v>
      </c>
      <c r="D71" s="39"/>
      <c r="E71" s="40"/>
      <c r="F71" s="20"/>
      <c r="G71" s="41">
        <v>210000</v>
      </c>
      <c r="H71" s="39">
        <v>697.02</v>
      </c>
      <c r="I71" s="39">
        <v>1015.24</v>
      </c>
      <c r="J71" s="42">
        <v>0</v>
      </c>
      <c r="K71" s="39">
        <v>1712.26</v>
      </c>
      <c r="L71" s="20"/>
      <c r="M71" s="41">
        <v>1191</v>
      </c>
      <c r="N71" s="39">
        <v>16044.13</v>
      </c>
    </row>
    <row r="72" spans="1:14" x14ac:dyDescent="0.2">
      <c r="A72" s="10"/>
      <c r="B72" s="10"/>
      <c r="C72" s="17">
        <f>SUM(C60:C71)</f>
        <v>5242312</v>
      </c>
      <c r="D72" s="18">
        <f>SUM(D60:D71)</f>
        <v>493854.38</v>
      </c>
      <c r="E72" s="19">
        <f>AVERAGE(E60:E71)</f>
        <v>0.10280370299114233</v>
      </c>
      <c r="F72" s="20"/>
      <c r="G72" s="21">
        <f>SUM(G60:G71)</f>
        <v>4680000</v>
      </c>
      <c r="H72" s="22">
        <f>SUM(H60:H71)</f>
        <v>14461.08</v>
      </c>
      <c r="I72" s="22">
        <f>SUM(I60:I71)</f>
        <v>23356.120000000003</v>
      </c>
      <c r="J72" s="23">
        <f>SUM(J60:J71)</f>
        <v>-15108.96</v>
      </c>
      <c r="K72" s="18">
        <f>SUM(K60:K71)</f>
        <v>22307.379999999997</v>
      </c>
      <c r="L72" s="24"/>
      <c r="M72" s="25">
        <f>SUM(M60:M71)</f>
        <v>4711</v>
      </c>
      <c r="N72" s="18">
        <f>SUM(N60:N71)</f>
        <v>61701.149999999987</v>
      </c>
    </row>
    <row r="73" spans="1:14" x14ac:dyDescent="0.2">
      <c r="A73" s="10"/>
      <c r="B73" s="10"/>
      <c r="C73" s="17"/>
      <c r="D73" s="18"/>
      <c r="E73" s="19"/>
      <c r="F73" s="20"/>
      <c r="G73" s="21"/>
      <c r="H73" s="22"/>
      <c r="I73" s="22"/>
      <c r="J73" s="23"/>
      <c r="K73" s="18"/>
      <c r="L73" s="24"/>
      <c r="M73" s="25"/>
      <c r="N73" s="18"/>
    </row>
    <row r="74" spans="1:14" x14ac:dyDescent="0.2">
      <c r="A74" s="10"/>
      <c r="B74" s="10"/>
      <c r="C74" s="17"/>
      <c r="D74" s="18"/>
      <c r="E74" s="19"/>
      <c r="F74" s="20"/>
      <c r="G74" s="21"/>
      <c r="H74" s="22"/>
      <c r="I74" s="22"/>
      <c r="J74" s="23"/>
      <c r="K74" s="18"/>
      <c r="L74" s="24"/>
      <c r="M74" s="25"/>
      <c r="N74" s="18"/>
    </row>
    <row r="75" spans="1:14" x14ac:dyDescent="0.2">
      <c r="A75" s="10"/>
      <c r="B75" s="10"/>
      <c r="C75" s="26"/>
      <c r="D75" s="27"/>
      <c r="E75" s="28"/>
      <c r="F75" s="28"/>
      <c r="G75" s="26"/>
      <c r="H75" s="27"/>
      <c r="I75" s="27"/>
      <c r="J75" s="29"/>
      <c r="K75" s="27"/>
      <c r="L75" s="10"/>
      <c r="M75" s="26"/>
      <c r="N75" s="27"/>
    </row>
    <row r="76" spans="1:14" x14ac:dyDescent="0.2">
      <c r="A76" s="11">
        <v>2009</v>
      </c>
      <c r="B76" s="10"/>
      <c r="C76" s="10"/>
      <c r="D76" s="10"/>
      <c r="E76" s="10"/>
      <c r="F76" s="10"/>
      <c r="G76" s="10"/>
      <c r="H76" s="12" t="s">
        <v>0</v>
      </c>
      <c r="I76" s="12" t="s">
        <v>1</v>
      </c>
      <c r="J76" s="10"/>
      <c r="K76" s="10"/>
      <c r="L76" s="10"/>
      <c r="M76" s="12" t="s">
        <v>2</v>
      </c>
      <c r="N76" s="10"/>
    </row>
    <row r="77" spans="1:14" x14ac:dyDescent="0.2">
      <c r="A77" s="13" t="s">
        <v>3</v>
      </c>
      <c r="B77" s="14" t="s">
        <v>4</v>
      </c>
      <c r="C77" s="14" t="s">
        <v>5</v>
      </c>
      <c r="D77" s="14" t="s">
        <v>6</v>
      </c>
      <c r="E77" s="15" t="s">
        <v>7</v>
      </c>
      <c r="F77" s="10"/>
      <c r="G77" s="16" t="s">
        <v>8</v>
      </c>
      <c r="H77" s="14" t="s">
        <v>6</v>
      </c>
      <c r="I77" s="14" t="s">
        <v>6</v>
      </c>
      <c r="J77" s="14" t="s">
        <v>9</v>
      </c>
      <c r="K77" s="14" t="s">
        <v>10</v>
      </c>
      <c r="L77" s="10"/>
      <c r="M77" s="14" t="s">
        <v>11</v>
      </c>
      <c r="N77" s="14" t="s">
        <v>6</v>
      </c>
    </row>
    <row r="78" spans="1:14" outlineLevel="1" x14ac:dyDescent="0.2">
      <c r="A78" s="94" t="s">
        <v>12</v>
      </c>
      <c r="B78" s="3">
        <v>2009</v>
      </c>
      <c r="C78" s="4">
        <v>434416</v>
      </c>
      <c r="D78" s="6">
        <v>48230.2</v>
      </c>
      <c r="E78" s="7">
        <f t="shared" ref="E78:E89" si="7">+D78/C78</f>
        <v>0.1110230746565504</v>
      </c>
      <c r="F78" s="9"/>
      <c r="G78" s="5">
        <v>205000</v>
      </c>
      <c r="H78" s="6">
        <v>703.12</v>
      </c>
      <c r="I78" s="6">
        <v>1011.14</v>
      </c>
      <c r="J78" s="8">
        <v>-1027</v>
      </c>
      <c r="K78" s="6">
        <v>687.6</v>
      </c>
      <c r="L78" s="9"/>
      <c r="M78" s="5">
        <v>789</v>
      </c>
      <c r="N78" s="6">
        <v>12018.46</v>
      </c>
    </row>
    <row r="79" spans="1:14" outlineLevel="1" x14ac:dyDescent="0.2">
      <c r="A79" s="20" t="s">
        <v>13</v>
      </c>
      <c r="B79" s="44">
        <v>2009</v>
      </c>
      <c r="C79" s="26">
        <v>402432</v>
      </c>
      <c r="D79" s="36">
        <v>38400.31</v>
      </c>
      <c r="E79" s="45">
        <f t="shared" si="7"/>
        <v>9.5420617644720096E-2</v>
      </c>
      <c r="F79" s="10"/>
      <c r="G79" s="35">
        <v>225000</v>
      </c>
      <c r="H79" s="36">
        <v>738.72</v>
      </c>
      <c r="I79" s="36">
        <v>1087.54</v>
      </c>
      <c r="J79" s="23">
        <v>-646</v>
      </c>
      <c r="K79" s="36">
        <v>1220.3800000000001</v>
      </c>
      <c r="L79" s="10"/>
      <c r="M79" s="35">
        <v>716</v>
      </c>
      <c r="N79" s="36">
        <v>9679.3799999999992</v>
      </c>
    </row>
    <row r="80" spans="1:14" outlineLevel="1" x14ac:dyDescent="0.2">
      <c r="A80" s="94" t="s">
        <v>14</v>
      </c>
      <c r="B80" s="3">
        <v>2009</v>
      </c>
      <c r="C80" s="4">
        <v>407135</v>
      </c>
      <c r="D80" s="6">
        <v>38685.11</v>
      </c>
      <c r="E80" s="7">
        <f t="shared" si="7"/>
        <v>9.5017893327765973E-2</v>
      </c>
      <c r="F80" s="9"/>
      <c r="G80" s="5">
        <v>220000</v>
      </c>
      <c r="H80" s="6">
        <v>724.82</v>
      </c>
      <c r="I80" s="6">
        <v>1063.44</v>
      </c>
      <c r="J80" s="8">
        <v>-665</v>
      </c>
      <c r="K80" s="6">
        <v>494.56</v>
      </c>
      <c r="L80" s="9"/>
      <c r="M80" s="5">
        <v>716</v>
      </c>
      <c r="N80" s="6">
        <v>8816.99</v>
      </c>
    </row>
    <row r="81" spans="1:14" outlineLevel="1" x14ac:dyDescent="0.2">
      <c r="A81" s="20" t="s">
        <v>15</v>
      </c>
      <c r="B81" s="44">
        <v>2009</v>
      </c>
      <c r="C81" s="26">
        <v>424930</v>
      </c>
      <c r="D81" s="36">
        <v>40092.550000000003</v>
      </c>
      <c r="E81" s="45">
        <f t="shared" si="7"/>
        <v>9.4350951921492954E-2</v>
      </c>
      <c r="F81" s="10"/>
      <c r="G81" s="35">
        <v>225000</v>
      </c>
      <c r="H81" s="36">
        <v>738.72</v>
      </c>
      <c r="I81" s="36">
        <v>1087.54</v>
      </c>
      <c r="J81" s="23">
        <v>-733</v>
      </c>
      <c r="K81" s="36">
        <v>1133.6199999999999</v>
      </c>
      <c r="L81" s="10"/>
      <c r="M81" s="35">
        <v>368</v>
      </c>
      <c r="N81" s="36">
        <v>4706.43</v>
      </c>
    </row>
    <row r="82" spans="1:14" outlineLevel="1" x14ac:dyDescent="0.2">
      <c r="A82" s="94" t="s">
        <v>16</v>
      </c>
      <c r="B82" s="3">
        <v>2009</v>
      </c>
      <c r="C82" s="4">
        <v>435431</v>
      </c>
      <c r="D82" s="6">
        <v>41342.870000000003</v>
      </c>
      <c r="E82" s="7">
        <f t="shared" si="7"/>
        <v>9.4947006529163061E-2</v>
      </c>
      <c r="F82" s="9"/>
      <c r="G82" s="5">
        <v>295000</v>
      </c>
      <c r="H82" s="6">
        <v>980.57</v>
      </c>
      <c r="I82" s="6">
        <v>1495.9</v>
      </c>
      <c r="J82" s="8">
        <v>0</v>
      </c>
      <c r="K82" s="6">
        <v>2476.4699999999998</v>
      </c>
      <c r="L82" s="9"/>
      <c r="M82" s="5">
        <v>77</v>
      </c>
      <c r="N82" s="6">
        <v>1251.71</v>
      </c>
    </row>
    <row r="83" spans="1:14" outlineLevel="1" x14ac:dyDescent="0.2">
      <c r="A83" s="20" t="s">
        <v>17</v>
      </c>
      <c r="B83" s="44">
        <v>2009</v>
      </c>
      <c r="C83" s="26">
        <v>456615</v>
      </c>
      <c r="D83" s="36">
        <v>43601.35</v>
      </c>
      <c r="E83" s="45">
        <f t="shared" si="7"/>
        <v>9.5488212169990039E-2</v>
      </c>
      <c r="F83" s="10"/>
      <c r="G83" s="35">
        <v>425000</v>
      </c>
      <c r="H83" s="36">
        <v>1380.17</v>
      </c>
      <c r="I83" s="36">
        <v>2173</v>
      </c>
      <c r="J83" s="23">
        <v>-1984</v>
      </c>
      <c r="K83" s="36">
        <v>1610.19</v>
      </c>
      <c r="L83" s="10"/>
      <c r="M83" s="35">
        <v>21</v>
      </c>
      <c r="N83" s="36">
        <v>571.6</v>
      </c>
    </row>
    <row r="84" spans="1:14" outlineLevel="1" x14ac:dyDescent="0.2">
      <c r="A84" s="94" t="s">
        <v>18</v>
      </c>
      <c r="B84" s="3">
        <v>2009</v>
      </c>
      <c r="C84" s="4">
        <v>577693</v>
      </c>
      <c r="D84" s="6">
        <v>52509.75</v>
      </c>
      <c r="E84" s="7">
        <f t="shared" si="7"/>
        <v>9.0895596796222208E-2</v>
      </c>
      <c r="F84" s="9"/>
      <c r="G84" s="5">
        <v>970000</v>
      </c>
      <c r="H84" s="6">
        <v>2951.57</v>
      </c>
      <c r="I84" s="6">
        <v>4951.3999999999996</v>
      </c>
      <c r="J84" s="8">
        <v>-1447</v>
      </c>
      <c r="K84" s="6">
        <v>6455.81</v>
      </c>
      <c r="L84" s="9"/>
      <c r="M84" s="5">
        <v>19</v>
      </c>
      <c r="N84" s="6">
        <v>513.82000000000005</v>
      </c>
    </row>
    <row r="85" spans="1:14" outlineLevel="1" x14ac:dyDescent="0.2">
      <c r="A85" s="20" t="s">
        <v>19</v>
      </c>
      <c r="B85" s="44">
        <v>2009</v>
      </c>
      <c r="C85" s="26">
        <v>563079</v>
      </c>
      <c r="D85" s="36">
        <v>52250.06</v>
      </c>
      <c r="E85" s="45">
        <f t="shared" si="7"/>
        <v>9.2793480133338296E-2</v>
      </c>
      <c r="F85" s="10"/>
      <c r="G85" s="35">
        <v>830000</v>
      </c>
      <c r="H85" s="36">
        <v>2542.77</v>
      </c>
      <c r="I85" s="36">
        <v>4243</v>
      </c>
      <c r="J85" s="23">
        <v>-2242</v>
      </c>
      <c r="K85" s="36">
        <v>4544.1899999999996</v>
      </c>
      <c r="L85" s="10"/>
      <c r="M85" s="35">
        <v>19</v>
      </c>
      <c r="N85" s="36">
        <v>513.82000000000005</v>
      </c>
    </row>
    <row r="86" spans="1:14" outlineLevel="1" x14ac:dyDescent="0.2">
      <c r="A86" s="94" t="s">
        <v>20</v>
      </c>
      <c r="B86" s="3">
        <v>2009</v>
      </c>
      <c r="C86" s="4">
        <v>525524</v>
      </c>
      <c r="D86" s="6">
        <v>49302.77</v>
      </c>
      <c r="E86" s="7">
        <f t="shared" si="7"/>
        <v>9.3816400392750854E-2</v>
      </c>
      <c r="F86" s="9"/>
      <c r="G86" s="5">
        <v>700000</v>
      </c>
      <c r="H86" s="6">
        <v>2163.17</v>
      </c>
      <c r="I86" s="6">
        <v>3585.2</v>
      </c>
      <c r="J86" s="8">
        <v>-2616</v>
      </c>
      <c r="K86" s="6">
        <v>3132.35</v>
      </c>
      <c r="L86" s="9"/>
      <c r="M86" s="5">
        <v>22</v>
      </c>
      <c r="N86" s="6">
        <v>544.20000000000005</v>
      </c>
    </row>
    <row r="87" spans="1:14" outlineLevel="1" x14ac:dyDescent="0.2">
      <c r="A87" s="20" t="s">
        <v>21</v>
      </c>
      <c r="B87" s="44">
        <v>2009</v>
      </c>
      <c r="C87" s="26">
        <v>482802</v>
      </c>
      <c r="D87" s="36">
        <v>45289.95</v>
      </c>
      <c r="E87" s="45">
        <f t="shared" si="7"/>
        <v>9.3806467247443043E-2</v>
      </c>
      <c r="F87" s="10"/>
      <c r="G87" s="35">
        <v>465000</v>
      </c>
      <c r="H87" s="36">
        <v>1476.97</v>
      </c>
      <c r="I87" s="36">
        <v>2396.1</v>
      </c>
      <c r="J87" s="23">
        <v>-1356</v>
      </c>
      <c r="K87" s="36">
        <v>2516.9899999999998</v>
      </c>
      <c r="L87" s="10"/>
      <c r="M87" s="35">
        <v>285</v>
      </c>
      <c r="N87" s="36">
        <v>3177.67</v>
      </c>
    </row>
    <row r="88" spans="1:14" outlineLevel="1" x14ac:dyDescent="0.2">
      <c r="A88" s="94" t="s">
        <v>22</v>
      </c>
      <c r="B88" s="3">
        <v>2009</v>
      </c>
      <c r="C88" s="4">
        <v>453513</v>
      </c>
      <c r="D88" s="6">
        <v>43127.43</v>
      </c>
      <c r="E88" s="7">
        <f t="shared" si="7"/>
        <v>9.5096347844493986E-2</v>
      </c>
      <c r="F88" s="9"/>
      <c r="G88" s="5">
        <v>310000</v>
      </c>
      <c r="H88" s="6">
        <v>1024.3699999999999</v>
      </c>
      <c r="I88" s="6">
        <v>1571.8</v>
      </c>
      <c r="J88" s="8">
        <v>0</v>
      </c>
      <c r="K88" s="6">
        <v>2596.17</v>
      </c>
      <c r="L88" s="9"/>
      <c r="M88" s="5">
        <v>774</v>
      </c>
      <c r="N88" s="6">
        <v>8021.06</v>
      </c>
    </row>
    <row r="89" spans="1:14" outlineLevel="1" x14ac:dyDescent="0.2">
      <c r="A89" s="95" t="s">
        <v>23</v>
      </c>
      <c r="B89" s="37">
        <v>2009</v>
      </c>
      <c r="C89" s="38">
        <v>431634</v>
      </c>
      <c r="D89" s="39">
        <v>40920.97</v>
      </c>
      <c r="E89" s="40">
        <f t="shared" si="7"/>
        <v>9.4804788316027011E-2</v>
      </c>
      <c r="F89" s="20"/>
      <c r="G89" s="41">
        <v>205000</v>
      </c>
      <c r="H89" s="39">
        <v>757</v>
      </c>
      <c r="I89" s="39">
        <v>1080.5</v>
      </c>
      <c r="J89" s="42">
        <v>-2140</v>
      </c>
      <c r="K89" s="39">
        <v>-302.11</v>
      </c>
      <c r="L89" s="20"/>
      <c r="M89" s="41">
        <v>1516</v>
      </c>
      <c r="N89" s="39">
        <v>15316.86</v>
      </c>
    </row>
    <row r="90" spans="1:14" x14ac:dyDescent="0.2">
      <c r="A90" s="10"/>
      <c r="B90" s="10"/>
      <c r="C90" s="17">
        <f>SUM(C78:C89)</f>
        <v>5595204</v>
      </c>
      <c r="D90" s="18">
        <f>SUM(D78:D89)</f>
        <v>533753.32000000007</v>
      </c>
      <c r="E90" s="19">
        <f>AVERAGE(E78:E89)</f>
        <v>9.5621736414996494E-2</v>
      </c>
      <c r="F90" s="20"/>
      <c r="G90" s="21">
        <f>SUM(G78:G89)</f>
        <v>5075000</v>
      </c>
      <c r="H90" s="22">
        <f>SUM(H78:H89)</f>
        <v>16181.970000000001</v>
      </c>
      <c r="I90" s="22">
        <f>SUM(I78:I89)</f>
        <v>25746.559999999998</v>
      </c>
      <c r="J90" s="23">
        <f>SUM(J78:J89)</f>
        <v>-14856</v>
      </c>
      <c r="K90" s="18">
        <f>SUM(K78:K89)</f>
        <v>26566.219999999994</v>
      </c>
      <c r="L90" s="24"/>
      <c r="M90" s="25">
        <f>SUM(M78:M89)</f>
        <v>5322</v>
      </c>
      <c r="N90" s="18">
        <f>SUM(N78:N89)</f>
        <v>65131.999999999985</v>
      </c>
    </row>
    <row r="91" spans="1:14" x14ac:dyDescent="0.2">
      <c r="A91" s="10"/>
      <c r="B91" s="10"/>
      <c r="C91" s="17"/>
      <c r="D91" s="18"/>
      <c r="E91" s="19"/>
      <c r="F91" s="20"/>
      <c r="G91" s="21"/>
      <c r="H91" s="22"/>
      <c r="I91" s="22"/>
      <c r="J91" s="23"/>
      <c r="K91" s="18"/>
      <c r="L91" s="24"/>
      <c r="M91" s="25"/>
      <c r="N91" s="18"/>
    </row>
    <row r="92" spans="1:14" x14ac:dyDescent="0.2">
      <c r="A92" s="10"/>
      <c r="B92" s="10"/>
      <c r="C92" s="17"/>
      <c r="D92" s="18"/>
      <c r="E92" s="19"/>
      <c r="F92" s="20"/>
      <c r="G92" s="21"/>
      <c r="H92" s="22"/>
      <c r="I92" s="22"/>
      <c r="J92" s="23"/>
      <c r="K92" s="18"/>
      <c r="L92" s="24"/>
      <c r="M92" s="25"/>
      <c r="N92" s="18"/>
    </row>
    <row r="93" spans="1:14" x14ac:dyDescent="0.2">
      <c r="A93" s="10"/>
      <c r="B93" s="10"/>
      <c r="C93" s="26"/>
      <c r="D93" s="27"/>
      <c r="E93" s="28"/>
      <c r="F93" s="28"/>
      <c r="G93" s="26"/>
      <c r="H93" s="27"/>
      <c r="I93" s="27"/>
      <c r="J93" s="29"/>
      <c r="K93" s="27"/>
      <c r="L93" s="10"/>
      <c r="M93" s="26"/>
      <c r="N93" s="27"/>
    </row>
    <row r="94" spans="1:14" x14ac:dyDescent="0.2">
      <c r="A94" s="11">
        <v>2010</v>
      </c>
      <c r="B94" s="10"/>
      <c r="C94" s="10"/>
      <c r="D94" s="10"/>
      <c r="E94" s="10"/>
      <c r="F94" s="10"/>
      <c r="G94" s="10"/>
      <c r="H94" s="12" t="s">
        <v>0</v>
      </c>
      <c r="I94" s="12" t="s">
        <v>1</v>
      </c>
      <c r="J94" s="10"/>
      <c r="K94" s="10"/>
      <c r="L94" s="10"/>
      <c r="M94" s="12" t="s">
        <v>2</v>
      </c>
      <c r="N94" s="10"/>
    </row>
    <row r="95" spans="1:14" x14ac:dyDescent="0.2">
      <c r="A95" s="13" t="s">
        <v>3</v>
      </c>
      <c r="B95" s="14" t="s">
        <v>4</v>
      </c>
      <c r="C95" s="14" t="s">
        <v>24</v>
      </c>
      <c r="D95" s="14" t="s">
        <v>6</v>
      </c>
      <c r="E95" s="15" t="s">
        <v>7</v>
      </c>
      <c r="F95" s="10"/>
      <c r="G95" s="16" t="s">
        <v>8</v>
      </c>
      <c r="H95" s="14" t="s">
        <v>6</v>
      </c>
      <c r="I95" s="14" t="s">
        <v>6</v>
      </c>
      <c r="J95" s="14" t="s">
        <v>9</v>
      </c>
      <c r="K95" s="14" t="s">
        <v>10</v>
      </c>
      <c r="L95" s="10"/>
      <c r="M95" s="14" t="s">
        <v>11</v>
      </c>
      <c r="N95" s="14" t="s">
        <v>6</v>
      </c>
    </row>
    <row r="96" spans="1:14" outlineLevel="1" x14ac:dyDescent="0.2">
      <c r="A96" s="94" t="s">
        <v>12</v>
      </c>
      <c r="B96" s="3">
        <v>2010</v>
      </c>
      <c r="C96" s="4">
        <v>419777</v>
      </c>
      <c r="D96" s="6">
        <v>40126.47</v>
      </c>
      <c r="E96" s="7">
        <f t="shared" ref="E96:E107" si="8">+D96/C96</f>
        <v>9.5589968006822679E-2</v>
      </c>
      <c r="F96" s="9"/>
      <c r="G96" s="5">
        <v>225000</v>
      </c>
      <c r="H96" s="6">
        <v>776.17</v>
      </c>
      <c r="I96" s="6">
        <v>1141.7</v>
      </c>
      <c r="J96" s="8">
        <v>0</v>
      </c>
      <c r="K96" s="6">
        <f>SUM(H96+I96-J96)</f>
        <v>1917.87</v>
      </c>
      <c r="L96" s="9"/>
      <c r="M96" s="5">
        <v>1011</v>
      </c>
      <c r="N96" s="6">
        <v>11291.38</v>
      </c>
    </row>
    <row r="97" spans="1:14" outlineLevel="1" x14ac:dyDescent="0.2">
      <c r="A97" s="20" t="s">
        <v>13</v>
      </c>
      <c r="B97" s="44">
        <v>2010</v>
      </c>
      <c r="C97" s="26">
        <v>389658</v>
      </c>
      <c r="D97" s="36">
        <v>37204.07</v>
      </c>
      <c r="E97" s="45">
        <f t="shared" si="8"/>
        <v>9.5478778826560723E-2</v>
      </c>
      <c r="F97" s="10"/>
      <c r="G97" s="35">
        <v>220000</v>
      </c>
      <c r="H97" s="36">
        <v>761.57</v>
      </c>
      <c r="I97" s="36">
        <v>1116.4000000000001</v>
      </c>
      <c r="J97" s="23">
        <v>0</v>
      </c>
      <c r="K97" s="36">
        <f>SUM(H97+I97-J97)</f>
        <v>1877.9700000000003</v>
      </c>
      <c r="L97" s="10"/>
      <c r="M97" s="35">
        <v>1515</v>
      </c>
      <c r="N97" s="36">
        <v>16691.759999999998</v>
      </c>
    </row>
    <row r="98" spans="1:14" outlineLevel="1" x14ac:dyDescent="0.2">
      <c r="A98" s="94" t="s">
        <v>14</v>
      </c>
      <c r="B98" s="3">
        <v>2010</v>
      </c>
      <c r="C98" s="4">
        <v>402355</v>
      </c>
      <c r="D98" s="6">
        <v>38203.72</v>
      </c>
      <c r="E98" s="7">
        <f t="shared" si="8"/>
        <v>9.4950280225174294E-2</v>
      </c>
      <c r="F98" s="9"/>
      <c r="G98" s="5">
        <v>160000</v>
      </c>
      <c r="H98" s="6">
        <v>586.37</v>
      </c>
      <c r="I98" s="6">
        <v>852.8</v>
      </c>
      <c r="J98" s="8">
        <v>-896</v>
      </c>
      <c r="K98" s="6">
        <v>543.54999999999995</v>
      </c>
      <c r="L98" s="9"/>
      <c r="M98" s="5">
        <v>928</v>
      </c>
      <c r="N98" s="6">
        <v>9823.89</v>
      </c>
    </row>
    <row r="99" spans="1:14" outlineLevel="1" x14ac:dyDescent="0.2">
      <c r="A99" s="20" t="s">
        <v>15</v>
      </c>
      <c r="B99" s="44">
        <v>2010</v>
      </c>
      <c r="C99" s="26">
        <v>466060</v>
      </c>
      <c r="D99" s="36">
        <v>43374.14</v>
      </c>
      <c r="E99" s="45">
        <f t="shared" si="8"/>
        <v>9.3065570956529203E-2</v>
      </c>
      <c r="F99" s="10"/>
      <c r="G99" s="35">
        <v>295000</v>
      </c>
      <c r="H99" s="36">
        <v>980.57</v>
      </c>
      <c r="I99" s="36">
        <v>1615.9</v>
      </c>
      <c r="J99" s="23">
        <v>-1928</v>
      </c>
      <c r="K99" s="36">
        <v>668.61</v>
      </c>
      <c r="L99" s="10"/>
      <c r="M99" s="35">
        <v>220</v>
      </c>
      <c r="N99" s="36">
        <v>2486.4</v>
      </c>
    </row>
    <row r="100" spans="1:14" outlineLevel="1" x14ac:dyDescent="0.2">
      <c r="A100" s="94" t="s">
        <v>16</v>
      </c>
      <c r="B100" s="3">
        <v>2010</v>
      </c>
      <c r="C100" s="4">
        <v>412399</v>
      </c>
      <c r="D100" s="6">
        <v>39145.949999999997</v>
      </c>
      <c r="E100" s="7">
        <f t="shared" si="8"/>
        <v>9.4922514361092045E-2</v>
      </c>
      <c r="F100" s="9"/>
      <c r="G100" s="5">
        <v>480000</v>
      </c>
      <c r="H100" s="6">
        <v>1522.22</v>
      </c>
      <c r="I100" s="6">
        <v>2476.81</v>
      </c>
      <c r="J100" s="8">
        <v>-875</v>
      </c>
      <c r="K100" s="6">
        <v>3123.65</v>
      </c>
      <c r="L100" s="9"/>
      <c r="M100" s="5">
        <v>33</v>
      </c>
      <c r="N100" s="6">
        <v>547.77</v>
      </c>
    </row>
    <row r="101" spans="1:14" outlineLevel="1" x14ac:dyDescent="0.2">
      <c r="A101" s="20" t="s">
        <v>17</v>
      </c>
      <c r="B101" s="44">
        <v>2010</v>
      </c>
      <c r="C101" s="26">
        <v>492369</v>
      </c>
      <c r="D101" s="36">
        <v>45441.16</v>
      </c>
      <c r="E101" s="45">
        <f t="shared" si="8"/>
        <v>9.2290863153447936E-2</v>
      </c>
      <c r="F101" s="10"/>
      <c r="G101" s="35">
        <v>690000</v>
      </c>
      <c r="H101" s="36">
        <v>2135.42</v>
      </c>
      <c r="I101" s="36">
        <v>3541.51</v>
      </c>
      <c r="J101" s="23">
        <v>-1065</v>
      </c>
      <c r="K101" s="36">
        <v>4612.2299999999996</v>
      </c>
      <c r="L101" s="10"/>
      <c r="M101" s="35">
        <v>22</v>
      </c>
      <c r="N101" s="36">
        <v>433.79</v>
      </c>
    </row>
    <row r="102" spans="1:14" outlineLevel="1" x14ac:dyDescent="0.2">
      <c r="A102" s="94" t="s">
        <v>18</v>
      </c>
      <c r="B102" s="3">
        <v>2010</v>
      </c>
      <c r="C102" s="4">
        <v>529325</v>
      </c>
      <c r="D102" s="6">
        <v>48287.040000000001</v>
      </c>
      <c r="E102" s="7">
        <f t="shared" si="8"/>
        <v>9.1223803901194916E-2</v>
      </c>
      <c r="F102" s="9"/>
      <c r="G102" s="5">
        <v>625000</v>
      </c>
      <c r="H102" s="6">
        <v>2306.58</v>
      </c>
      <c r="I102" s="6">
        <v>3199.17</v>
      </c>
      <c r="J102" s="8">
        <v>-1638</v>
      </c>
      <c r="K102" s="6">
        <v>3868.14</v>
      </c>
      <c r="L102" s="9"/>
      <c r="M102" s="5">
        <v>22</v>
      </c>
      <c r="N102" s="6">
        <v>383.19</v>
      </c>
    </row>
    <row r="103" spans="1:14" outlineLevel="1" x14ac:dyDescent="0.2">
      <c r="A103" s="20" t="s">
        <v>19</v>
      </c>
      <c r="B103" s="44">
        <v>2010</v>
      </c>
      <c r="C103" s="26">
        <v>507458</v>
      </c>
      <c r="D103" s="36">
        <v>46701.17</v>
      </c>
      <c r="E103" s="45">
        <f t="shared" si="8"/>
        <v>9.2029626097135123E-2</v>
      </c>
      <c r="F103" s="10"/>
      <c r="G103" s="35">
        <v>840000</v>
      </c>
      <c r="H103" s="36">
        <v>3071.98</v>
      </c>
      <c r="I103" s="36">
        <v>4282.7700000000004</v>
      </c>
      <c r="J103" s="23">
        <v>-2051</v>
      </c>
      <c r="K103" s="36">
        <v>5303.47</v>
      </c>
      <c r="L103" s="10"/>
      <c r="M103" s="35">
        <v>20</v>
      </c>
      <c r="N103" s="36">
        <v>373.92</v>
      </c>
    </row>
    <row r="104" spans="1:14" outlineLevel="1" x14ac:dyDescent="0.2">
      <c r="A104" s="94" t="s">
        <v>20</v>
      </c>
      <c r="B104" s="3">
        <v>2010</v>
      </c>
      <c r="C104" s="4">
        <v>561547</v>
      </c>
      <c r="D104" s="6">
        <v>50925.59</v>
      </c>
      <c r="E104" s="7">
        <f t="shared" si="8"/>
        <v>9.0688027894370374E-2</v>
      </c>
      <c r="F104" s="9"/>
      <c r="G104" s="5">
        <v>745000</v>
      </c>
      <c r="H104" s="6">
        <v>2713.78</v>
      </c>
      <c r="I104" s="6">
        <v>3783.97</v>
      </c>
      <c r="J104" s="8">
        <v>0</v>
      </c>
      <c r="K104" s="6">
        <v>6497.75</v>
      </c>
      <c r="L104" s="9"/>
      <c r="M104" s="5">
        <v>22</v>
      </c>
      <c r="N104" s="6">
        <v>390.22</v>
      </c>
    </row>
    <row r="105" spans="1:14" outlineLevel="1" x14ac:dyDescent="0.2">
      <c r="A105" s="20" t="s">
        <v>21</v>
      </c>
      <c r="B105" s="44">
        <v>2010</v>
      </c>
      <c r="C105" s="26">
        <v>455682</v>
      </c>
      <c r="D105" s="36">
        <v>42907.58</v>
      </c>
      <c r="E105" s="45">
        <f t="shared" si="8"/>
        <v>9.416123524738744E-2</v>
      </c>
      <c r="F105" s="10"/>
      <c r="G105" s="35">
        <v>590000</v>
      </c>
      <c r="H105" s="36">
        <v>2161.98</v>
      </c>
      <c r="I105" s="36">
        <v>3002.77</v>
      </c>
      <c r="J105" s="23">
        <v>0</v>
      </c>
      <c r="K105" s="36">
        <v>5164.75</v>
      </c>
      <c r="L105" s="10"/>
      <c r="M105" s="35">
        <v>202</v>
      </c>
      <c r="N105" s="36">
        <v>1848.68</v>
      </c>
    </row>
    <row r="106" spans="1:14" outlineLevel="1" x14ac:dyDescent="0.2">
      <c r="A106" s="94" t="s">
        <v>22</v>
      </c>
      <c r="B106" s="3">
        <v>2010</v>
      </c>
      <c r="C106" s="4">
        <v>427640</v>
      </c>
      <c r="D106" s="6">
        <v>40580.800000000003</v>
      </c>
      <c r="E106" s="7">
        <f t="shared" si="8"/>
        <v>9.4894771302965114E-2</v>
      </c>
      <c r="F106" s="9"/>
      <c r="G106" s="5">
        <v>480000</v>
      </c>
      <c r="H106" s="6">
        <v>1790.38</v>
      </c>
      <c r="I106" s="6">
        <v>2468.37</v>
      </c>
      <c r="J106" s="8">
        <v>-1930</v>
      </c>
      <c r="K106" s="6">
        <v>2328.4299999999998</v>
      </c>
      <c r="L106" s="9"/>
      <c r="M106" s="5">
        <v>704</v>
      </c>
      <c r="N106" s="6">
        <v>5450.14</v>
      </c>
    </row>
    <row r="107" spans="1:14" outlineLevel="1" x14ac:dyDescent="0.2">
      <c r="A107" s="95" t="s">
        <v>23</v>
      </c>
      <c r="B107" s="37">
        <v>2010</v>
      </c>
      <c r="C107" s="38">
        <v>428092</v>
      </c>
      <c r="D107" s="39">
        <v>39874.83</v>
      </c>
      <c r="E107" s="40">
        <f t="shared" si="8"/>
        <v>9.3145468731020434E-2</v>
      </c>
      <c r="F107" s="20"/>
      <c r="G107" s="41">
        <v>350000</v>
      </c>
      <c r="H107" s="39">
        <v>1307.58</v>
      </c>
      <c r="I107" s="39">
        <v>1793.17</v>
      </c>
      <c r="J107" s="42">
        <v>0</v>
      </c>
      <c r="K107" s="39">
        <v>3100.75</v>
      </c>
      <c r="L107" s="20"/>
      <c r="M107" s="41"/>
      <c r="N107" s="39"/>
    </row>
    <row r="108" spans="1:14" x14ac:dyDescent="0.2">
      <c r="A108" s="10"/>
      <c r="B108" s="10"/>
      <c r="C108" s="17">
        <f>SUM(C96:C107)</f>
        <v>5492362</v>
      </c>
      <c r="D108" s="18">
        <f>SUM(D96:D107)</f>
        <v>512772.52000000008</v>
      </c>
      <c r="E108" s="19">
        <f>AVERAGE(E96:E107)</f>
        <v>9.3536742391975028E-2</v>
      </c>
      <c r="F108" s="20"/>
      <c r="G108" s="21">
        <f>SUM(G96:G107)</f>
        <v>5700000</v>
      </c>
      <c r="H108" s="22">
        <f>SUM(H96:H107)</f>
        <v>20114.600000000006</v>
      </c>
      <c r="I108" s="22">
        <f>SUM(I96:I107)</f>
        <v>29275.340000000004</v>
      </c>
      <c r="J108" s="23">
        <f>SUM(J96:J107)</f>
        <v>-10383</v>
      </c>
      <c r="K108" s="18">
        <f>SUM(K96:K107)</f>
        <v>39007.170000000006</v>
      </c>
      <c r="L108" s="24"/>
      <c r="M108" s="25">
        <f>SUM(M96:M107)</f>
        <v>4699</v>
      </c>
      <c r="N108" s="18">
        <f>SUM(N96:N107)</f>
        <v>49721.14</v>
      </c>
    </row>
    <row r="109" spans="1:14" x14ac:dyDescent="0.2">
      <c r="A109" s="10"/>
      <c r="B109" s="10"/>
      <c r="C109" s="17"/>
      <c r="D109" s="18"/>
      <c r="E109" s="19"/>
      <c r="F109" s="20"/>
      <c r="G109" s="21"/>
      <c r="H109" s="22"/>
      <c r="I109" s="22"/>
      <c r="J109" s="23"/>
      <c r="K109" s="18"/>
      <c r="L109" s="24"/>
      <c r="M109" s="25"/>
      <c r="N109" s="18"/>
    </row>
    <row r="110" spans="1:14" x14ac:dyDescent="0.2">
      <c r="A110" s="10"/>
      <c r="B110" s="10"/>
      <c r="C110" s="17"/>
      <c r="D110" s="18"/>
      <c r="E110" s="19"/>
      <c r="F110" s="20"/>
      <c r="G110" s="21"/>
      <c r="H110" s="22"/>
      <c r="I110" s="22"/>
      <c r="J110" s="23"/>
      <c r="K110" s="18"/>
      <c r="L110" s="24"/>
      <c r="M110" s="25"/>
      <c r="N110" s="18"/>
    </row>
    <row r="111" spans="1:14" x14ac:dyDescent="0.2">
      <c r="A111" s="10"/>
      <c r="B111" s="10"/>
      <c r="C111" s="26"/>
      <c r="D111" s="27"/>
      <c r="E111" s="28"/>
      <c r="F111" s="28"/>
      <c r="G111" s="26"/>
      <c r="H111" s="27"/>
      <c r="I111" s="27"/>
      <c r="J111" s="29"/>
      <c r="K111" s="27"/>
      <c r="L111" s="10"/>
      <c r="M111" s="26"/>
      <c r="N111" s="27"/>
    </row>
    <row r="112" spans="1:14" x14ac:dyDescent="0.2">
      <c r="A112" s="11">
        <v>2011</v>
      </c>
      <c r="B112" s="10"/>
      <c r="C112" s="10"/>
      <c r="D112" s="10"/>
      <c r="E112" s="10"/>
      <c r="F112" s="10"/>
      <c r="G112" s="10"/>
      <c r="H112" s="12" t="s">
        <v>0</v>
      </c>
      <c r="I112" s="12" t="s">
        <v>1</v>
      </c>
      <c r="J112" s="10"/>
      <c r="K112" s="10"/>
      <c r="L112" s="10"/>
      <c r="M112" s="12" t="s">
        <v>2</v>
      </c>
      <c r="N112" s="10"/>
    </row>
    <row r="113" spans="1:14" x14ac:dyDescent="0.2">
      <c r="A113" s="13" t="s">
        <v>3</v>
      </c>
      <c r="B113" s="14" t="s">
        <v>4</v>
      </c>
      <c r="C113" s="14" t="s">
        <v>24</v>
      </c>
      <c r="D113" s="14" t="s">
        <v>6</v>
      </c>
      <c r="E113" s="15" t="s">
        <v>7</v>
      </c>
      <c r="F113" s="10"/>
      <c r="G113" s="16" t="s">
        <v>8</v>
      </c>
      <c r="H113" s="14" t="s">
        <v>6</v>
      </c>
      <c r="I113" s="14" t="s">
        <v>6</v>
      </c>
      <c r="J113" s="14" t="s">
        <v>9</v>
      </c>
      <c r="K113" s="14" t="s">
        <v>10</v>
      </c>
      <c r="L113" s="10"/>
      <c r="M113" s="14" t="s">
        <v>11</v>
      </c>
      <c r="N113" s="14" t="s">
        <v>6</v>
      </c>
    </row>
    <row r="114" spans="1:14" outlineLevel="1" x14ac:dyDescent="0.2">
      <c r="A114" s="94" t="s">
        <v>12</v>
      </c>
      <c r="B114" s="3">
        <v>2011</v>
      </c>
      <c r="C114" s="4">
        <v>443631</v>
      </c>
      <c r="D114" s="6">
        <v>41328.480000000003</v>
      </c>
      <c r="E114" s="7">
        <f t="shared" ref="E114:E125" si="9">+D114/C114</f>
        <v>9.3159585331052161E-2</v>
      </c>
      <c r="F114" s="9"/>
      <c r="G114" s="5">
        <v>335000</v>
      </c>
      <c r="H114" s="6">
        <v>1254.18</v>
      </c>
      <c r="I114" s="6">
        <v>1717.57</v>
      </c>
      <c r="J114" s="8">
        <v>0</v>
      </c>
      <c r="K114" s="6">
        <f>SUM(H114+I114-J114)</f>
        <v>2971.75</v>
      </c>
      <c r="L114" s="9"/>
      <c r="M114" s="5">
        <v>1598</v>
      </c>
      <c r="N114" s="6">
        <v>12089.11</v>
      </c>
    </row>
    <row r="115" spans="1:14" outlineLevel="1" x14ac:dyDescent="0.2">
      <c r="A115" s="20" t="s">
        <v>13</v>
      </c>
      <c r="B115" s="44">
        <v>2011</v>
      </c>
      <c r="C115" s="26">
        <v>322539</v>
      </c>
      <c r="D115" s="36">
        <v>31891.69</v>
      </c>
      <c r="E115" s="45">
        <f t="shared" si="9"/>
        <v>9.8877004021219142E-2</v>
      </c>
      <c r="F115" s="10"/>
      <c r="G115" s="35">
        <v>250000</v>
      </c>
      <c r="H115" s="36">
        <v>951.58</v>
      </c>
      <c r="I115" s="36">
        <v>1289.17</v>
      </c>
      <c r="J115" s="23">
        <v>0</v>
      </c>
      <c r="K115" s="36">
        <f>SUM(H115+I115-J115)</f>
        <v>2240.75</v>
      </c>
      <c r="L115" s="10"/>
      <c r="M115" s="35">
        <v>862</v>
      </c>
      <c r="N115" s="36">
        <v>6616.63</v>
      </c>
    </row>
    <row r="116" spans="1:14" outlineLevel="1" x14ac:dyDescent="0.2">
      <c r="A116" s="94" t="s">
        <v>14</v>
      </c>
      <c r="B116" s="3">
        <v>2011</v>
      </c>
      <c r="C116" s="4">
        <v>370699</v>
      </c>
      <c r="D116" s="6">
        <v>35562.97</v>
      </c>
      <c r="E116" s="7">
        <f t="shared" si="9"/>
        <v>9.5934895966808653E-2</v>
      </c>
      <c r="F116" s="9"/>
      <c r="G116" s="5">
        <v>290000</v>
      </c>
      <c r="H116" s="6">
        <v>1193.98</v>
      </c>
      <c r="I116" s="6">
        <v>1590.77</v>
      </c>
      <c r="J116" s="8">
        <v>4546.08</v>
      </c>
      <c r="K116" s="6">
        <v>-1761.33</v>
      </c>
      <c r="L116" s="9"/>
      <c r="M116" s="5">
        <v>200</v>
      </c>
      <c r="N116" s="6">
        <v>1698.05</v>
      </c>
    </row>
    <row r="117" spans="1:14" outlineLevel="1" x14ac:dyDescent="0.2">
      <c r="A117" s="20" t="s">
        <v>15</v>
      </c>
      <c r="B117" s="44">
        <v>2011</v>
      </c>
      <c r="C117" s="26">
        <v>337605</v>
      </c>
      <c r="D117" s="36">
        <v>33436.46</v>
      </c>
      <c r="E117" s="45">
        <f t="shared" si="9"/>
        <v>9.9040180092119484E-2</v>
      </c>
      <c r="F117" s="10"/>
      <c r="G117" s="35">
        <v>380000</v>
      </c>
      <c r="H117" s="36">
        <v>1434.38</v>
      </c>
      <c r="I117" s="36">
        <v>1964.37</v>
      </c>
      <c r="J117" s="23">
        <v>549.08000000000004</v>
      </c>
      <c r="K117" s="36">
        <v>1088.06</v>
      </c>
      <c r="L117" s="10"/>
      <c r="M117" s="35">
        <v>80</v>
      </c>
      <c r="N117" s="36">
        <v>806.49</v>
      </c>
    </row>
    <row r="118" spans="1:14" outlineLevel="1" x14ac:dyDescent="0.2">
      <c r="A118" s="94" t="s">
        <v>16</v>
      </c>
      <c r="B118" s="3">
        <v>2011</v>
      </c>
      <c r="C118" s="4">
        <v>529391</v>
      </c>
      <c r="D118" s="6">
        <v>50422.32</v>
      </c>
      <c r="E118" s="7">
        <f t="shared" si="9"/>
        <v>9.5245895755689078E-2</v>
      </c>
      <c r="F118" s="9"/>
      <c r="G118" s="5">
        <v>505000</v>
      </c>
      <c r="H118" s="6">
        <v>1890.85</v>
      </c>
      <c r="I118" s="6">
        <v>2620.37</v>
      </c>
      <c r="J118" s="8">
        <v>0</v>
      </c>
      <c r="K118" s="6">
        <v>4511.22</v>
      </c>
      <c r="L118" s="9"/>
      <c r="M118" s="5">
        <v>28</v>
      </c>
      <c r="N118" s="6">
        <v>420.17</v>
      </c>
    </row>
    <row r="119" spans="1:14" outlineLevel="1" x14ac:dyDescent="0.2">
      <c r="A119" s="20" t="s">
        <v>17</v>
      </c>
      <c r="B119" s="44">
        <v>2011</v>
      </c>
      <c r="C119" s="26">
        <v>610188</v>
      </c>
      <c r="D119" s="36">
        <v>56900.63</v>
      </c>
      <c r="E119" s="45">
        <f t="shared" si="9"/>
        <v>9.3250981664667276E-2</v>
      </c>
      <c r="F119" s="10"/>
      <c r="G119" s="35">
        <v>860000</v>
      </c>
      <c r="H119" s="36">
        <v>3175.95</v>
      </c>
      <c r="I119" s="36">
        <v>4441.5200000000004</v>
      </c>
      <c r="J119" s="23">
        <v>0</v>
      </c>
      <c r="K119" s="36">
        <v>7617.47</v>
      </c>
      <c r="L119" s="10"/>
      <c r="M119" s="35">
        <v>45</v>
      </c>
      <c r="N119" s="36">
        <v>546.5</v>
      </c>
    </row>
    <row r="120" spans="1:14" outlineLevel="1" x14ac:dyDescent="0.2">
      <c r="A120" s="94" t="s">
        <v>18</v>
      </c>
      <c r="B120" s="3">
        <v>2011</v>
      </c>
      <c r="C120" s="4">
        <v>557918</v>
      </c>
      <c r="D120" s="6">
        <v>52587.25</v>
      </c>
      <c r="E120" s="7">
        <f t="shared" si="9"/>
        <v>9.4256234787190946E-2</v>
      </c>
      <c r="F120" s="9"/>
      <c r="G120" s="5">
        <v>840000</v>
      </c>
      <c r="H120" s="6">
        <v>3123.55</v>
      </c>
      <c r="I120" s="6">
        <v>4358.92</v>
      </c>
      <c r="J120" s="8">
        <v>1564.65</v>
      </c>
      <c r="K120" s="6">
        <v>5917.82</v>
      </c>
      <c r="L120" s="9"/>
      <c r="M120" s="5">
        <v>21</v>
      </c>
      <c r="N120" s="6">
        <v>396.03</v>
      </c>
    </row>
    <row r="121" spans="1:14" outlineLevel="1" x14ac:dyDescent="0.2">
      <c r="A121" s="20" t="s">
        <v>19</v>
      </c>
      <c r="B121" s="44">
        <v>2011</v>
      </c>
      <c r="C121" s="26">
        <v>641466</v>
      </c>
      <c r="D121" s="36">
        <v>59285.33</v>
      </c>
      <c r="E121" s="45">
        <f t="shared" si="9"/>
        <v>9.2421624840599501E-2</v>
      </c>
      <c r="F121" s="10"/>
      <c r="G121" s="35">
        <v>900000</v>
      </c>
      <c r="H121" s="36">
        <v>3320.75</v>
      </c>
      <c r="I121" s="36">
        <v>4646.72</v>
      </c>
      <c r="J121" s="23">
        <v>0</v>
      </c>
      <c r="K121" s="36">
        <v>7967.47</v>
      </c>
      <c r="L121" s="10"/>
      <c r="M121" s="35">
        <v>15</v>
      </c>
      <c r="N121" s="36">
        <v>339.55</v>
      </c>
    </row>
    <row r="122" spans="1:14" outlineLevel="1" x14ac:dyDescent="0.2">
      <c r="A122" s="94" t="s">
        <v>20</v>
      </c>
      <c r="B122" s="3">
        <v>2011</v>
      </c>
      <c r="C122" s="4">
        <v>519721</v>
      </c>
      <c r="D122" s="6">
        <v>49461.1</v>
      </c>
      <c r="E122" s="7">
        <f t="shared" si="9"/>
        <v>9.5168561593624273E-2</v>
      </c>
      <c r="F122" s="9"/>
      <c r="G122" s="5">
        <v>740000</v>
      </c>
      <c r="H122" s="6">
        <v>2761.55</v>
      </c>
      <c r="I122" s="6">
        <v>3845.92</v>
      </c>
      <c r="J122" s="8">
        <v>1939.14</v>
      </c>
      <c r="K122" s="6">
        <v>4668.33</v>
      </c>
      <c r="L122" s="9"/>
      <c r="M122" s="5">
        <v>21</v>
      </c>
      <c r="N122" s="6">
        <v>378.42</v>
      </c>
    </row>
    <row r="123" spans="1:14" outlineLevel="1" x14ac:dyDescent="0.2">
      <c r="A123" s="20" t="s">
        <v>21</v>
      </c>
      <c r="B123" s="44">
        <v>2011</v>
      </c>
      <c r="C123" s="26">
        <v>448570</v>
      </c>
      <c r="D123" s="36">
        <v>43707.31</v>
      </c>
      <c r="E123" s="45">
        <f t="shared" si="9"/>
        <v>9.7436988652830098E-2</v>
      </c>
      <c r="F123" s="10"/>
      <c r="G123" s="35">
        <v>585000</v>
      </c>
      <c r="H123" s="36">
        <v>2200.4499999999998</v>
      </c>
      <c r="I123" s="36">
        <v>3050.77</v>
      </c>
      <c r="J123" s="23">
        <v>1959.66</v>
      </c>
      <c r="K123" s="36">
        <v>3291.56</v>
      </c>
      <c r="L123" s="10"/>
      <c r="M123" s="35">
        <v>59</v>
      </c>
      <c r="N123" s="36">
        <v>680.67</v>
      </c>
    </row>
    <row r="124" spans="1:14" outlineLevel="1" x14ac:dyDescent="0.2">
      <c r="A124" s="94" t="s">
        <v>22</v>
      </c>
      <c r="B124" s="3">
        <v>2011</v>
      </c>
      <c r="C124" s="4">
        <v>471220</v>
      </c>
      <c r="D124" s="6">
        <v>45140.74</v>
      </c>
      <c r="E124" s="7">
        <f t="shared" si="9"/>
        <v>9.5795467085437791E-2</v>
      </c>
      <c r="F124" s="9"/>
      <c r="G124" s="5">
        <v>405000</v>
      </c>
      <c r="H124" s="6">
        <v>1548.85</v>
      </c>
      <c r="I124" s="6">
        <v>2127.37</v>
      </c>
      <c r="J124" s="8">
        <v>1154.25</v>
      </c>
      <c r="K124" s="6">
        <v>2521.9699999999998</v>
      </c>
      <c r="L124" s="9"/>
      <c r="M124" s="5">
        <v>77</v>
      </c>
      <c r="N124" s="6">
        <v>974.96</v>
      </c>
    </row>
    <row r="125" spans="1:14" outlineLevel="1" x14ac:dyDescent="0.2">
      <c r="A125" s="95" t="s">
        <v>23</v>
      </c>
      <c r="B125" s="37">
        <v>2011</v>
      </c>
      <c r="C125" s="38">
        <v>456344</v>
      </c>
      <c r="D125" s="39">
        <v>43934.77</v>
      </c>
      <c r="E125" s="40">
        <f t="shared" si="9"/>
        <v>9.6275550900198084E-2</v>
      </c>
      <c r="F125" s="20"/>
      <c r="G125" s="41">
        <v>250000</v>
      </c>
      <c r="H125" s="39">
        <v>987.75</v>
      </c>
      <c r="I125" s="39">
        <v>1332.22</v>
      </c>
      <c r="J125" s="42">
        <v>728.46</v>
      </c>
      <c r="K125" s="39">
        <v>1591.51</v>
      </c>
      <c r="L125" s="20"/>
      <c r="M125" s="41">
        <v>209</v>
      </c>
      <c r="N125" s="39">
        <v>1873.71</v>
      </c>
    </row>
    <row r="126" spans="1:14" x14ac:dyDescent="0.2">
      <c r="A126" s="10"/>
      <c r="B126" s="10"/>
      <c r="C126" s="17">
        <f>SUM(C114:C125)</f>
        <v>5709292</v>
      </c>
      <c r="D126" s="18">
        <f>SUM(D114:D125)</f>
        <v>543659.05000000005</v>
      </c>
      <c r="E126" s="19">
        <f>AVERAGE(E114:E125)</f>
        <v>9.5571914224286361E-2</v>
      </c>
      <c r="F126" s="20"/>
      <c r="G126" s="21">
        <f>SUM(G114:G125)</f>
        <v>6340000</v>
      </c>
      <c r="H126" s="22">
        <f>SUM(H114:H125)</f>
        <v>23843.82</v>
      </c>
      <c r="I126" s="22">
        <f>SUM(I114:I125)</f>
        <v>32985.69</v>
      </c>
      <c r="J126" s="23">
        <f>SUM(J114:J125)</f>
        <v>12441.32</v>
      </c>
      <c r="K126" s="18">
        <f>SUM(K114:K125)</f>
        <v>42626.58</v>
      </c>
      <c r="L126" s="24"/>
      <c r="M126" s="25">
        <f>SUM(M114:M125)</f>
        <v>3215</v>
      </c>
      <c r="N126" s="18">
        <f>SUM(N114:N125)</f>
        <v>26820.289999999994</v>
      </c>
    </row>
    <row r="127" spans="1:14" x14ac:dyDescent="0.2">
      <c r="A127" s="10"/>
      <c r="B127" s="10"/>
      <c r="C127" s="17"/>
      <c r="D127" s="18"/>
      <c r="E127" s="19"/>
      <c r="F127" s="20"/>
      <c r="G127" s="21"/>
      <c r="H127" s="22"/>
      <c r="I127" s="22"/>
      <c r="J127" s="23"/>
      <c r="K127" s="18"/>
      <c r="L127" s="24"/>
      <c r="M127" s="25"/>
      <c r="N127" s="18"/>
    </row>
    <row r="128" spans="1:14" x14ac:dyDescent="0.2">
      <c r="A128" s="10"/>
      <c r="B128" s="10"/>
      <c r="C128" s="17"/>
      <c r="D128" s="18"/>
      <c r="E128" s="19"/>
      <c r="F128" s="20"/>
      <c r="G128" s="21"/>
      <c r="H128" s="22"/>
      <c r="I128" s="22"/>
      <c r="J128" s="23"/>
      <c r="K128" s="18"/>
      <c r="L128" s="24"/>
      <c r="M128" s="25"/>
      <c r="N128" s="18"/>
    </row>
    <row r="129" spans="1:14" x14ac:dyDescent="0.2">
      <c r="A129" s="10"/>
      <c r="B129" s="10"/>
      <c r="C129" s="26"/>
      <c r="D129" s="27"/>
      <c r="E129" s="28"/>
      <c r="F129" s="28"/>
      <c r="G129" s="26"/>
      <c r="H129" s="27"/>
      <c r="I129" s="27"/>
      <c r="J129" s="29"/>
      <c r="K129" s="27"/>
      <c r="L129" s="10"/>
      <c r="M129" s="26"/>
      <c r="N129" s="27"/>
    </row>
    <row r="130" spans="1:14" x14ac:dyDescent="0.2">
      <c r="A130" s="11">
        <v>2012</v>
      </c>
      <c r="B130" s="10"/>
      <c r="C130" s="10"/>
      <c r="D130" s="10"/>
      <c r="E130" s="10"/>
      <c r="F130" s="10"/>
      <c r="G130" s="10"/>
      <c r="H130" s="12" t="s">
        <v>0</v>
      </c>
      <c r="I130" s="12" t="s">
        <v>1</v>
      </c>
      <c r="J130" s="10"/>
      <c r="K130" s="10"/>
      <c r="L130" s="10"/>
      <c r="M130" s="12" t="s">
        <v>2</v>
      </c>
      <c r="N130" s="10"/>
    </row>
    <row r="131" spans="1:14" x14ac:dyDescent="0.2">
      <c r="A131" s="13" t="s">
        <v>3</v>
      </c>
      <c r="B131" s="14" t="s">
        <v>4</v>
      </c>
      <c r="C131" s="14" t="s">
        <v>24</v>
      </c>
      <c r="D131" s="14" t="s">
        <v>6</v>
      </c>
      <c r="E131" s="15" t="s">
        <v>7</v>
      </c>
      <c r="F131" s="10"/>
      <c r="G131" s="16" t="s">
        <v>8</v>
      </c>
      <c r="H131" s="14" t="s">
        <v>6</v>
      </c>
      <c r="I131" s="14" t="s">
        <v>6</v>
      </c>
      <c r="J131" s="14" t="s">
        <v>9</v>
      </c>
      <c r="K131" s="14" t="s">
        <v>10</v>
      </c>
      <c r="L131" s="10"/>
      <c r="M131" s="14" t="s">
        <v>11</v>
      </c>
      <c r="N131" s="14" t="s">
        <v>6</v>
      </c>
    </row>
    <row r="132" spans="1:14" outlineLevel="1" x14ac:dyDescent="0.2">
      <c r="A132" s="94" t="s">
        <v>12</v>
      </c>
      <c r="B132" s="3">
        <v>2012</v>
      </c>
      <c r="C132" s="4">
        <v>459174</v>
      </c>
      <c r="D132" s="6">
        <v>45937.93</v>
      </c>
      <c r="E132" s="7">
        <f t="shared" ref="E132:E143" si="10">+D132/C132</f>
        <v>0.10004471071968361</v>
      </c>
      <c r="F132" s="9"/>
      <c r="G132" s="5">
        <v>212000</v>
      </c>
      <c r="H132" s="6">
        <v>850.19</v>
      </c>
      <c r="I132" s="6">
        <v>1137.28</v>
      </c>
      <c r="J132" s="8">
        <v>533.52</v>
      </c>
      <c r="K132" s="6">
        <f>SUM(H132+I132-J132)</f>
        <v>1453.95</v>
      </c>
      <c r="L132" s="9"/>
      <c r="M132" s="5">
        <v>766</v>
      </c>
      <c r="N132" s="6">
        <v>5143.6400000000003</v>
      </c>
    </row>
    <row r="133" spans="1:14" outlineLevel="1" x14ac:dyDescent="0.2">
      <c r="A133" s="20" t="s">
        <v>13</v>
      </c>
      <c r="B133" s="44">
        <v>2012</v>
      </c>
      <c r="C133" s="26">
        <v>451761</v>
      </c>
      <c r="D133" s="36">
        <v>45326.33</v>
      </c>
      <c r="E133" s="45">
        <f t="shared" si="10"/>
        <v>0.1003325430924759</v>
      </c>
      <c r="F133" s="10"/>
      <c r="G133" s="35">
        <v>213000</v>
      </c>
      <c r="H133" s="36">
        <v>853.81</v>
      </c>
      <c r="I133" s="36">
        <v>1142.4100000000001</v>
      </c>
      <c r="J133" s="23">
        <v>456.57</v>
      </c>
      <c r="K133" s="36">
        <v>1539.65</v>
      </c>
      <c r="L133" s="10"/>
      <c r="M133" s="35">
        <v>468</v>
      </c>
      <c r="N133" s="36">
        <v>3226.77</v>
      </c>
    </row>
    <row r="134" spans="1:14" outlineLevel="1" x14ac:dyDescent="0.2">
      <c r="A134" s="94" t="s">
        <v>14</v>
      </c>
      <c r="B134" s="3">
        <v>2012</v>
      </c>
      <c r="C134" s="4">
        <v>485716</v>
      </c>
      <c r="D134" s="6">
        <v>48770.85</v>
      </c>
      <c r="E134" s="7">
        <f t="shared" si="10"/>
        <v>0.10041021914040303</v>
      </c>
      <c r="F134" s="9"/>
      <c r="G134" s="5">
        <v>255000</v>
      </c>
      <c r="H134" s="6">
        <v>985.85</v>
      </c>
      <c r="I134" s="6">
        <v>1337.87</v>
      </c>
      <c r="J134" s="8">
        <v>0</v>
      </c>
      <c r="K134" s="6">
        <v>2323.7199999999998</v>
      </c>
      <c r="L134" s="9"/>
      <c r="M134" s="5">
        <v>144</v>
      </c>
      <c r="N134" s="6">
        <v>1139.47</v>
      </c>
    </row>
    <row r="135" spans="1:14" outlineLevel="1" x14ac:dyDescent="0.2">
      <c r="A135" s="20" t="s">
        <v>15</v>
      </c>
      <c r="B135" s="44">
        <v>2012</v>
      </c>
      <c r="C135" s="26">
        <v>469126</v>
      </c>
      <c r="D135" s="36">
        <v>46722.03</v>
      </c>
      <c r="E135" s="45">
        <f t="shared" si="10"/>
        <v>9.959377651206712E-2</v>
      </c>
      <c r="F135" s="10"/>
      <c r="G135" s="35">
        <v>325000</v>
      </c>
      <c r="H135" s="36">
        <v>1259.25</v>
      </c>
      <c r="I135" s="36">
        <v>1716.97</v>
      </c>
      <c r="J135" s="23">
        <v>548.91</v>
      </c>
      <c r="K135" s="36">
        <v>2427.31</v>
      </c>
      <c r="L135" s="10"/>
      <c r="M135" s="35">
        <v>84</v>
      </c>
      <c r="N135" s="36">
        <v>753.66</v>
      </c>
    </row>
    <row r="136" spans="1:14" outlineLevel="1" x14ac:dyDescent="0.2">
      <c r="A136" s="94" t="s">
        <v>16</v>
      </c>
      <c r="B136" s="3">
        <v>2012</v>
      </c>
      <c r="C136" s="4">
        <v>591515</v>
      </c>
      <c r="D136" s="6">
        <v>55889.56</v>
      </c>
      <c r="E136" s="7">
        <f t="shared" si="10"/>
        <v>9.4485448382543122E-2</v>
      </c>
      <c r="F136" s="9"/>
      <c r="G136" s="5">
        <v>430000</v>
      </c>
      <c r="H136" s="6">
        <v>1693.02</v>
      </c>
      <c r="I136" s="6">
        <v>2329.6999999999998</v>
      </c>
      <c r="J136" s="8">
        <v>820.8</v>
      </c>
      <c r="K136" s="6">
        <v>3201.92</v>
      </c>
      <c r="L136" s="9"/>
      <c r="M136" s="5">
        <v>93</v>
      </c>
      <c r="N136" s="6">
        <v>810.94</v>
      </c>
    </row>
    <row r="137" spans="1:14" outlineLevel="1" x14ac:dyDescent="0.2">
      <c r="A137" s="20" t="s">
        <v>17</v>
      </c>
      <c r="B137" s="44">
        <v>2012</v>
      </c>
      <c r="C137" s="26">
        <v>580736</v>
      </c>
      <c r="D137" s="36">
        <v>55482.92</v>
      </c>
      <c r="E137" s="45">
        <f t="shared" si="10"/>
        <v>9.5538971236499889E-2</v>
      </c>
      <c r="F137" s="10"/>
      <c r="G137" s="35">
        <v>665000</v>
      </c>
      <c r="H137" s="36">
        <v>2571.92</v>
      </c>
      <c r="I137" s="36">
        <v>3575.2</v>
      </c>
      <c r="J137" s="23">
        <v>1038.8</v>
      </c>
      <c r="K137" s="36">
        <v>5108.32</v>
      </c>
      <c r="L137" s="10"/>
      <c r="M137" s="35">
        <v>37</v>
      </c>
      <c r="N137" s="36">
        <v>449.92</v>
      </c>
    </row>
    <row r="138" spans="1:14" outlineLevel="1" x14ac:dyDescent="0.2">
      <c r="A138" s="94" t="s">
        <v>18</v>
      </c>
      <c r="B138" s="3">
        <v>2012</v>
      </c>
      <c r="C138" s="4">
        <v>602864</v>
      </c>
      <c r="D138" s="6">
        <v>57579.72</v>
      </c>
      <c r="E138" s="7">
        <f t="shared" si="10"/>
        <v>9.551029751320364E-2</v>
      </c>
      <c r="F138" s="9"/>
      <c r="G138" s="5">
        <v>535000</v>
      </c>
      <c r="H138" s="6">
        <v>2085.7199999999998</v>
      </c>
      <c r="I138" s="6">
        <v>2886.2</v>
      </c>
      <c r="J138" s="8">
        <v>1526.4</v>
      </c>
      <c r="K138" s="6">
        <v>3445.52</v>
      </c>
      <c r="L138" s="9"/>
      <c r="M138" s="5">
        <v>17</v>
      </c>
      <c r="N138" s="6">
        <v>356.04</v>
      </c>
    </row>
    <row r="139" spans="1:14" outlineLevel="1" x14ac:dyDescent="0.2">
      <c r="A139" s="20" t="s">
        <v>19</v>
      </c>
      <c r="B139" s="44">
        <v>2012</v>
      </c>
      <c r="C139" s="26">
        <v>611505</v>
      </c>
      <c r="D139" s="36">
        <v>58203.55</v>
      </c>
      <c r="E139" s="45">
        <f t="shared" si="10"/>
        <v>9.5180824359571883E-2</v>
      </c>
      <c r="F139" s="10"/>
      <c r="G139" s="35">
        <v>645000</v>
      </c>
      <c r="H139" s="36">
        <v>2477.12</v>
      </c>
      <c r="I139" s="36">
        <v>3449.2</v>
      </c>
      <c r="J139" s="23">
        <v>0</v>
      </c>
      <c r="K139" s="36">
        <v>5926.32</v>
      </c>
      <c r="L139" s="10"/>
      <c r="M139" s="35">
        <v>17</v>
      </c>
      <c r="N139" s="36">
        <v>356.04</v>
      </c>
    </row>
    <row r="140" spans="1:14" outlineLevel="1" x14ac:dyDescent="0.2">
      <c r="A140" s="94" t="s">
        <v>20</v>
      </c>
      <c r="B140" s="3">
        <v>2012</v>
      </c>
      <c r="C140" s="4">
        <v>494045</v>
      </c>
      <c r="D140" s="6">
        <v>49713.58</v>
      </c>
      <c r="E140" s="7">
        <f t="shared" si="10"/>
        <v>0.10062561102733557</v>
      </c>
      <c r="F140" s="9"/>
      <c r="G140" s="5">
        <v>670000</v>
      </c>
      <c r="H140" s="6">
        <v>2590.62</v>
      </c>
      <c r="I140" s="6">
        <v>3601.7</v>
      </c>
      <c r="J140" s="8">
        <v>1780.8</v>
      </c>
      <c r="K140" s="6">
        <v>4411.5200000000004</v>
      </c>
      <c r="L140" s="9"/>
      <c r="M140" s="5">
        <v>20</v>
      </c>
      <c r="N140" s="6">
        <v>391.25</v>
      </c>
    </row>
    <row r="141" spans="1:14" outlineLevel="1" x14ac:dyDescent="0.2">
      <c r="A141" s="20" t="s">
        <v>21</v>
      </c>
      <c r="B141" s="44">
        <v>2012</v>
      </c>
      <c r="C141" s="26">
        <v>533859</v>
      </c>
      <c r="D141" s="36">
        <v>51477.45</v>
      </c>
      <c r="E141" s="45">
        <f t="shared" si="10"/>
        <v>9.6425179682275652E-2</v>
      </c>
      <c r="F141" s="10"/>
      <c r="G141" s="35">
        <v>440000</v>
      </c>
      <c r="H141" s="36">
        <v>1730.42</v>
      </c>
      <c r="I141" s="36">
        <v>2382.6999999999998</v>
      </c>
      <c r="J141" s="23">
        <v>1674.8</v>
      </c>
      <c r="K141" s="36">
        <v>2439.3200000000002</v>
      </c>
      <c r="L141" s="10"/>
      <c r="M141" s="35">
        <v>38</v>
      </c>
      <c r="N141" s="36">
        <v>530.03</v>
      </c>
    </row>
    <row r="142" spans="1:14" outlineLevel="1" x14ac:dyDescent="0.2">
      <c r="A142" s="94" t="s">
        <v>22</v>
      </c>
      <c r="B142" s="3">
        <v>2012</v>
      </c>
      <c r="C142" s="4">
        <v>450701</v>
      </c>
      <c r="D142" s="6">
        <v>45237.03</v>
      </c>
      <c r="E142" s="7">
        <f t="shared" si="10"/>
        <v>0.10037037858802177</v>
      </c>
      <c r="F142" s="9"/>
      <c r="G142" s="5">
        <v>395000</v>
      </c>
      <c r="H142" s="6">
        <v>1546.12</v>
      </c>
      <c r="I142" s="6">
        <v>2144.1999999999998</v>
      </c>
      <c r="J142" s="8">
        <v>1007</v>
      </c>
      <c r="K142" s="6">
        <v>2699.32</v>
      </c>
      <c r="L142" s="9"/>
      <c r="M142" s="5">
        <v>354</v>
      </c>
      <c r="N142" s="6">
        <v>3089.38</v>
      </c>
    </row>
    <row r="143" spans="1:14" outlineLevel="1" x14ac:dyDescent="0.2">
      <c r="A143" s="95" t="s">
        <v>23</v>
      </c>
      <c r="B143" s="37">
        <v>2012</v>
      </c>
      <c r="C143" s="38">
        <v>338022</v>
      </c>
      <c r="D143" s="39">
        <v>33966.699999999997</v>
      </c>
      <c r="E143" s="40">
        <f t="shared" si="10"/>
        <v>0.10048665471478187</v>
      </c>
      <c r="F143" s="20"/>
      <c r="G143" s="41">
        <v>205000</v>
      </c>
      <c r="H143" s="39">
        <v>851.52</v>
      </c>
      <c r="I143" s="39">
        <v>1119.2</v>
      </c>
      <c r="J143" s="42">
        <v>821.5</v>
      </c>
      <c r="K143" s="39">
        <v>1167.22</v>
      </c>
      <c r="L143" s="20"/>
      <c r="M143" s="41">
        <v>698</v>
      </c>
      <c r="N143" s="39">
        <v>5861.21</v>
      </c>
    </row>
    <row r="144" spans="1:14" x14ac:dyDescent="0.2">
      <c r="A144" s="10"/>
      <c r="B144" s="10"/>
      <c r="C144" s="17">
        <f>SUM(C132:C143)</f>
        <v>6069024</v>
      </c>
      <c r="D144" s="18">
        <f>SUM(D132:D143)</f>
        <v>594307.64999999991</v>
      </c>
      <c r="E144" s="19">
        <f>AVERAGE(E132:E143)</f>
        <v>9.8250384580738578E-2</v>
      </c>
      <c r="F144" s="20"/>
      <c r="G144" s="21">
        <f>SUM(G132:G143)</f>
        <v>4990000</v>
      </c>
      <c r="H144" s="22">
        <f>SUM(H132:H143)</f>
        <v>19495.559999999998</v>
      </c>
      <c r="I144" s="22">
        <f>SUM(I132:I143)</f>
        <v>26822.630000000005</v>
      </c>
      <c r="J144" s="23">
        <f>SUM(J132:J143)</f>
        <v>10209.1</v>
      </c>
      <c r="K144" s="18">
        <f>SUM(K132:K143)</f>
        <v>36144.090000000004</v>
      </c>
      <c r="L144" s="24"/>
      <c r="M144" s="25">
        <f>SUM(M132:M143)</f>
        <v>2736</v>
      </c>
      <c r="N144" s="18">
        <f>SUM(N132:N143)</f>
        <v>22108.350000000002</v>
      </c>
    </row>
    <row r="145" spans="1:14" x14ac:dyDescent="0.2">
      <c r="A145" s="10"/>
      <c r="B145" s="10"/>
      <c r="C145" s="17"/>
      <c r="D145" s="18"/>
      <c r="E145" s="19"/>
      <c r="F145" s="20"/>
      <c r="G145" s="21"/>
      <c r="H145" s="22"/>
      <c r="I145" s="22"/>
      <c r="J145" s="23"/>
      <c r="K145" s="18"/>
      <c r="L145" s="24"/>
      <c r="M145" s="25"/>
      <c r="N145" s="18"/>
    </row>
    <row r="146" spans="1:14" x14ac:dyDescent="0.2">
      <c r="A146" s="10"/>
      <c r="B146" s="10"/>
      <c r="C146" s="17"/>
      <c r="D146" s="18"/>
      <c r="E146" s="19"/>
      <c r="F146" s="20"/>
      <c r="G146" s="21"/>
      <c r="H146" s="22"/>
      <c r="I146" s="22"/>
      <c r="J146" s="23"/>
      <c r="K146" s="18"/>
      <c r="L146" s="24"/>
      <c r="M146" s="25"/>
      <c r="N146" s="18"/>
    </row>
    <row r="147" spans="1:14" x14ac:dyDescent="0.2">
      <c r="A147" s="10"/>
      <c r="B147" s="10"/>
      <c r="C147" s="26"/>
      <c r="D147" s="27"/>
      <c r="E147" s="28"/>
      <c r="F147" s="28"/>
      <c r="G147" s="26"/>
      <c r="H147" s="27"/>
      <c r="I147" s="27"/>
      <c r="J147" s="29"/>
      <c r="K147" s="27"/>
      <c r="L147" s="10"/>
      <c r="M147" s="26"/>
      <c r="N147" s="27"/>
    </row>
    <row r="148" spans="1:14" x14ac:dyDescent="0.2">
      <c r="A148" s="11">
        <v>2013</v>
      </c>
      <c r="B148" s="10"/>
      <c r="C148" s="10"/>
      <c r="D148" s="10"/>
      <c r="E148" s="10"/>
      <c r="F148" s="10"/>
      <c r="G148" s="10"/>
      <c r="H148" s="12" t="s">
        <v>0</v>
      </c>
      <c r="I148" s="12" t="s">
        <v>1</v>
      </c>
      <c r="J148" s="10"/>
      <c r="K148" s="10"/>
      <c r="L148" s="10"/>
      <c r="M148" s="12" t="s">
        <v>2</v>
      </c>
      <c r="N148" s="10"/>
    </row>
    <row r="149" spans="1:14" x14ac:dyDescent="0.2">
      <c r="A149" s="13" t="s">
        <v>3</v>
      </c>
      <c r="B149" s="14" t="s">
        <v>4</v>
      </c>
      <c r="C149" s="14" t="s">
        <v>24</v>
      </c>
      <c r="D149" s="14" t="s">
        <v>6</v>
      </c>
      <c r="E149" s="15" t="s">
        <v>7</v>
      </c>
      <c r="F149" s="10"/>
      <c r="G149" s="16" t="s">
        <v>8</v>
      </c>
      <c r="H149" s="14" t="s">
        <v>6</v>
      </c>
      <c r="I149" s="14" t="s">
        <v>6</v>
      </c>
      <c r="J149" s="14" t="s">
        <v>9</v>
      </c>
      <c r="K149" s="14" t="s">
        <v>10</v>
      </c>
      <c r="L149" s="10"/>
      <c r="M149" s="14" t="s">
        <v>11</v>
      </c>
      <c r="N149" s="14" t="s">
        <v>6</v>
      </c>
    </row>
    <row r="150" spans="1:14" outlineLevel="1" x14ac:dyDescent="0.2">
      <c r="A150" s="94" t="s">
        <v>12</v>
      </c>
      <c r="B150" s="3">
        <v>2013</v>
      </c>
      <c r="C150" s="4">
        <v>338320</v>
      </c>
      <c r="D150" s="6">
        <v>34034.51</v>
      </c>
      <c r="E150" s="7">
        <f t="shared" ref="E150:E161" si="11">+D150/C150</f>
        <v>0.10059857531331284</v>
      </c>
      <c r="F150" s="9"/>
      <c r="G150" s="5">
        <v>432000</v>
      </c>
      <c r="H150" s="6">
        <v>1700.5</v>
      </c>
      <c r="I150" s="6">
        <v>2340.3000000000002</v>
      </c>
      <c r="J150" s="8">
        <v>530</v>
      </c>
      <c r="K150" s="6">
        <f>SUM(H150+I150-J150)</f>
        <v>3510.8</v>
      </c>
      <c r="L150" s="9"/>
      <c r="M150" s="5">
        <v>707</v>
      </c>
      <c r="N150" s="6">
        <v>6177.45</v>
      </c>
    </row>
    <row r="151" spans="1:14" outlineLevel="1" x14ac:dyDescent="0.2">
      <c r="A151" s="20" t="s">
        <v>13</v>
      </c>
      <c r="B151" s="44">
        <v>2013</v>
      </c>
      <c r="C151" s="26">
        <v>313323</v>
      </c>
      <c r="D151" s="36">
        <v>32184.31</v>
      </c>
      <c r="E151" s="45">
        <f t="shared" si="11"/>
        <v>0.10271927052913447</v>
      </c>
      <c r="F151" s="10"/>
      <c r="G151" s="35">
        <v>444000</v>
      </c>
      <c r="H151" s="36">
        <v>1745.38</v>
      </c>
      <c r="I151" s="36">
        <v>2403.9</v>
      </c>
      <c r="J151" s="23">
        <v>455.8</v>
      </c>
      <c r="K151" s="36">
        <v>1539.65</v>
      </c>
      <c r="L151" s="10"/>
      <c r="M151" s="35">
        <v>696</v>
      </c>
      <c r="N151" s="36">
        <v>6085.58</v>
      </c>
    </row>
    <row r="152" spans="1:14" outlineLevel="1" x14ac:dyDescent="0.2">
      <c r="A152" s="94" t="s">
        <v>14</v>
      </c>
      <c r="B152" s="3">
        <v>2013</v>
      </c>
      <c r="C152" s="4">
        <v>333100</v>
      </c>
      <c r="D152" s="6">
        <v>33444.07</v>
      </c>
      <c r="E152" s="7">
        <f t="shared" si="11"/>
        <v>0.10040249174422096</v>
      </c>
      <c r="F152" s="9"/>
      <c r="G152" s="5">
        <v>421000</v>
      </c>
      <c r="H152" s="6">
        <v>1660.55</v>
      </c>
      <c r="I152" s="6">
        <v>2283.19</v>
      </c>
      <c r="J152" s="8">
        <v>318</v>
      </c>
      <c r="K152" s="6">
        <v>2323.7199999999998</v>
      </c>
      <c r="L152" s="9"/>
      <c r="M152" s="5">
        <v>448</v>
      </c>
      <c r="N152" s="6">
        <v>1139.47</v>
      </c>
    </row>
    <row r="153" spans="1:14" outlineLevel="1" x14ac:dyDescent="0.2">
      <c r="A153" s="20" t="s">
        <v>15</v>
      </c>
      <c r="B153" s="44">
        <v>2013</v>
      </c>
      <c r="C153" s="26">
        <v>364768</v>
      </c>
      <c r="D153" s="36">
        <v>35842.9</v>
      </c>
      <c r="E153" s="45">
        <f t="shared" si="11"/>
        <v>9.8262183086235633E-2</v>
      </c>
      <c r="F153" s="10"/>
      <c r="G153" s="35">
        <v>335000</v>
      </c>
      <c r="H153" s="36">
        <v>1338.86</v>
      </c>
      <c r="I153" s="36">
        <v>1827.34</v>
      </c>
      <c r="J153" s="23">
        <v>318</v>
      </c>
      <c r="K153" s="36">
        <v>2427.31</v>
      </c>
      <c r="L153" s="10"/>
      <c r="M153" s="35">
        <v>256</v>
      </c>
      <c r="N153" s="36">
        <v>753.66</v>
      </c>
    </row>
    <row r="154" spans="1:14" outlineLevel="1" x14ac:dyDescent="0.2">
      <c r="A154" s="94" t="s">
        <v>16</v>
      </c>
      <c r="B154" s="3">
        <v>2013</v>
      </c>
      <c r="C154" s="4">
        <v>395724</v>
      </c>
      <c r="D154" s="6">
        <v>38187.03</v>
      </c>
      <c r="E154" s="7">
        <f t="shared" si="11"/>
        <v>9.649915092337083E-2</v>
      </c>
      <c r="F154" s="9"/>
      <c r="G154" s="5">
        <v>365000</v>
      </c>
      <c r="H154" s="6">
        <v>1504.49</v>
      </c>
      <c r="I154" s="6">
        <v>2056.8000000000002</v>
      </c>
      <c r="J154" s="8">
        <v>567.1</v>
      </c>
      <c r="K154" s="6">
        <v>3201.92</v>
      </c>
      <c r="L154" s="9"/>
      <c r="M154" s="5">
        <v>66</v>
      </c>
      <c r="N154" s="6">
        <v>810.94</v>
      </c>
    </row>
    <row r="155" spans="1:14" outlineLevel="1" x14ac:dyDescent="0.2">
      <c r="A155" s="20" t="s">
        <v>17</v>
      </c>
      <c r="B155" s="44">
        <v>2013</v>
      </c>
      <c r="C155" s="26">
        <v>456300</v>
      </c>
      <c r="D155" s="36">
        <v>43111.77</v>
      </c>
      <c r="E155" s="45">
        <f t="shared" si="11"/>
        <v>9.448119658119658E-2</v>
      </c>
      <c r="F155" s="10"/>
      <c r="G155" s="35">
        <v>540000</v>
      </c>
      <c r="H155" s="36">
        <v>2183.4899999999998</v>
      </c>
      <c r="I155" s="36">
        <v>3017.55</v>
      </c>
      <c r="J155" s="23">
        <v>1886.63</v>
      </c>
      <c r="K155" s="36">
        <v>5108.32</v>
      </c>
      <c r="L155" s="10"/>
      <c r="M155" s="35">
        <v>16</v>
      </c>
      <c r="N155" s="36">
        <v>449.92</v>
      </c>
    </row>
    <row r="156" spans="1:14" outlineLevel="1" x14ac:dyDescent="0.2">
      <c r="A156" s="94" t="s">
        <v>18</v>
      </c>
      <c r="B156" s="3">
        <v>2013</v>
      </c>
      <c r="C156" s="4">
        <v>450407</v>
      </c>
      <c r="D156" s="6">
        <v>43339.05</v>
      </c>
      <c r="E156" s="7">
        <f t="shared" si="11"/>
        <v>9.6221972571474246E-2</v>
      </c>
      <c r="F156" s="9"/>
      <c r="G156" s="5">
        <v>330000</v>
      </c>
      <c r="H156" s="6">
        <v>1368.69</v>
      </c>
      <c r="I156" s="6">
        <v>1864.65</v>
      </c>
      <c r="J156" s="8">
        <v>1471.32</v>
      </c>
      <c r="K156" s="6">
        <v>3445.52</v>
      </c>
      <c r="L156" s="9"/>
      <c r="M156" s="5">
        <v>15</v>
      </c>
      <c r="N156" s="6">
        <v>356.04</v>
      </c>
    </row>
    <row r="157" spans="1:14" outlineLevel="1" x14ac:dyDescent="0.2">
      <c r="A157" s="20" t="s">
        <v>19</v>
      </c>
      <c r="B157" s="44">
        <v>2013</v>
      </c>
      <c r="C157" s="26">
        <v>425387</v>
      </c>
      <c r="D157" s="36">
        <v>40228.449999999997</v>
      </c>
      <c r="E157" s="45">
        <f t="shared" si="11"/>
        <v>9.4569062994402736E-2</v>
      </c>
      <c r="F157" s="10"/>
      <c r="G157" s="35">
        <v>1377000</v>
      </c>
      <c r="H157" s="36">
        <v>5431.05</v>
      </c>
      <c r="I157" s="36">
        <v>1612.68</v>
      </c>
      <c r="J157" s="23">
        <v>1712.88</v>
      </c>
      <c r="K157" s="36">
        <v>5926.32</v>
      </c>
      <c r="L157" s="10"/>
      <c r="M157" s="35">
        <v>17</v>
      </c>
      <c r="N157" s="36">
        <v>356.04</v>
      </c>
    </row>
    <row r="158" spans="1:14" outlineLevel="1" x14ac:dyDescent="0.2">
      <c r="A158" s="94" t="s">
        <v>20</v>
      </c>
      <c r="B158" s="3">
        <v>2013</v>
      </c>
      <c r="C158" s="4">
        <v>415755</v>
      </c>
      <c r="D158" s="6">
        <v>39262.69</v>
      </c>
      <c r="E158" s="7">
        <f t="shared" si="11"/>
        <v>9.4437084340537103E-2</v>
      </c>
      <c r="F158" s="9"/>
      <c r="G158" s="5">
        <v>534000</v>
      </c>
      <c r="H158" s="6">
        <v>2160.21</v>
      </c>
      <c r="I158" s="6">
        <v>2984.61</v>
      </c>
      <c r="J158" s="8">
        <v>1070.55</v>
      </c>
      <c r="K158" s="6">
        <v>4411.5200000000004</v>
      </c>
      <c r="L158" s="9"/>
      <c r="M158" s="5">
        <v>14</v>
      </c>
      <c r="N158" s="6">
        <v>391.25</v>
      </c>
    </row>
    <row r="159" spans="1:14" outlineLevel="1" x14ac:dyDescent="0.2">
      <c r="A159" s="20" t="s">
        <v>21</v>
      </c>
      <c r="B159" s="44">
        <v>2013</v>
      </c>
      <c r="C159" s="26">
        <v>346166</v>
      </c>
      <c r="D159" s="36">
        <v>33512.730000000003</v>
      </c>
      <c r="E159" s="45">
        <f t="shared" si="11"/>
        <v>9.6811154186141918E-2</v>
      </c>
      <c r="F159" s="10"/>
      <c r="G159" s="35">
        <v>268000</v>
      </c>
      <c r="H159" s="36">
        <v>1128.1300000000001</v>
      </c>
      <c r="I159" s="36">
        <v>1524.27</v>
      </c>
      <c r="J159" s="23">
        <v>3794.95</v>
      </c>
      <c r="K159" s="36">
        <v>2439.3200000000002</v>
      </c>
      <c r="L159" s="10"/>
      <c r="M159" s="35">
        <v>87</v>
      </c>
      <c r="N159" s="36">
        <v>530.03</v>
      </c>
    </row>
    <row r="160" spans="1:14" outlineLevel="1" x14ac:dyDescent="0.2">
      <c r="A160" s="94" t="s">
        <v>22</v>
      </c>
      <c r="B160" s="3">
        <v>2013</v>
      </c>
      <c r="C160" s="4">
        <v>315192</v>
      </c>
      <c r="D160" s="6">
        <v>31502.79</v>
      </c>
      <c r="E160" s="7">
        <f t="shared" si="11"/>
        <v>9.9947936495850154E-2</v>
      </c>
      <c r="F160" s="9"/>
      <c r="G160" s="5">
        <v>585000</v>
      </c>
      <c r="H160" s="6">
        <v>2358.09</v>
      </c>
      <c r="I160" s="6">
        <v>3264.6</v>
      </c>
      <c r="J160" s="8">
        <v>686.25</v>
      </c>
      <c r="K160" s="6">
        <v>2699.32</v>
      </c>
      <c r="L160" s="9"/>
      <c r="M160" s="5">
        <v>370</v>
      </c>
      <c r="N160" s="6">
        <v>3089.38</v>
      </c>
    </row>
    <row r="161" spans="1:14" outlineLevel="1" x14ac:dyDescent="0.2">
      <c r="A161" s="95" t="s">
        <v>23</v>
      </c>
      <c r="B161" s="37">
        <v>2013</v>
      </c>
      <c r="C161" s="38">
        <v>370283</v>
      </c>
      <c r="D161" s="39">
        <v>35605.199999999997</v>
      </c>
      <c r="E161" s="40">
        <f t="shared" si="11"/>
        <v>9.6156723371043223E-2</v>
      </c>
      <c r="F161" s="20"/>
      <c r="G161" s="41">
        <v>229000</v>
      </c>
      <c r="H161" s="39">
        <v>976.81</v>
      </c>
      <c r="I161" s="39">
        <v>1310.1600000000001</v>
      </c>
      <c r="J161" s="42">
        <v>258.02999999999997</v>
      </c>
      <c r="K161" s="39">
        <v>1167.22</v>
      </c>
      <c r="L161" s="20"/>
      <c r="M161" s="41">
        <v>1098</v>
      </c>
      <c r="N161" s="39">
        <v>5861.21</v>
      </c>
    </row>
    <row r="162" spans="1:14" x14ac:dyDescent="0.2">
      <c r="A162" s="43"/>
      <c r="B162" s="44"/>
      <c r="C162" s="26">
        <f>SUM(C150:C161)</f>
        <v>4524725</v>
      </c>
      <c r="D162" s="36">
        <f>SUM(D150:D161)</f>
        <v>440255.5</v>
      </c>
      <c r="E162" s="45">
        <f>AVERAGE(E150:E161)</f>
        <v>9.7592233511410054E-2</v>
      </c>
      <c r="F162" s="10"/>
      <c r="G162" s="35">
        <f>SUM(G150:G161)</f>
        <v>5860000</v>
      </c>
      <c r="H162" s="36">
        <f>SUM(H150:H161)</f>
        <v>23556.250000000004</v>
      </c>
      <c r="I162" s="36">
        <f>SUM(I150:I161)</f>
        <v>26490.05</v>
      </c>
      <c r="J162" s="23">
        <f>SUM(J150:J161)</f>
        <v>13069.51</v>
      </c>
      <c r="K162" s="36">
        <f>SUM(K150:K161)</f>
        <v>38200.94</v>
      </c>
      <c r="L162" s="10"/>
      <c r="M162" s="35">
        <f>SUM(M150:M161)</f>
        <v>3790</v>
      </c>
      <c r="N162" s="36">
        <f>SUM(N150:N161)</f>
        <v>26000.969999999998</v>
      </c>
    </row>
    <row r="163" spans="1:14" x14ac:dyDescent="0.2">
      <c r="A163" s="10"/>
      <c r="B163" s="10"/>
      <c r="C163" s="17"/>
      <c r="D163" s="18"/>
      <c r="E163" s="19"/>
      <c r="F163" s="20"/>
      <c r="G163" s="21"/>
      <c r="H163" s="22"/>
      <c r="I163" s="22"/>
      <c r="J163" s="23"/>
      <c r="K163" s="18"/>
      <c r="L163" s="24"/>
      <c r="M163" s="25"/>
      <c r="N163" s="18"/>
    </row>
    <row r="164" spans="1:14" x14ac:dyDescent="0.2">
      <c r="A164" s="10"/>
      <c r="B164" s="10"/>
      <c r="C164" s="17"/>
      <c r="D164" s="18"/>
      <c r="E164" s="19"/>
      <c r="F164" s="20"/>
      <c r="G164" s="21"/>
      <c r="H164" s="22"/>
      <c r="I164" s="22"/>
      <c r="J164" s="23"/>
      <c r="K164" s="18"/>
      <c r="L164" s="24"/>
      <c r="M164" s="25"/>
      <c r="N164" s="18"/>
    </row>
    <row r="165" spans="1:14" x14ac:dyDescent="0.2">
      <c r="A165" s="10"/>
      <c r="B165" s="10"/>
      <c r="C165" s="26"/>
      <c r="D165" s="27"/>
      <c r="E165" s="28"/>
      <c r="F165" s="28"/>
      <c r="G165" s="26"/>
      <c r="H165" s="27"/>
      <c r="I165" s="27"/>
      <c r="J165" s="29"/>
      <c r="K165" s="27"/>
      <c r="L165" s="10"/>
      <c r="M165" s="26"/>
      <c r="N165" s="27"/>
    </row>
    <row r="166" spans="1:14" x14ac:dyDescent="0.2">
      <c r="A166" s="11">
        <v>2014</v>
      </c>
      <c r="B166" s="10"/>
      <c r="C166" s="10"/>
      <c r="D166" s="10"/>
      <c r="E166" s="10"/>
      <c r="F166" s="10"/>
      <c r="G166" s="10"/>
      <c r="H166" s="12" t="s">
        <v>0</v>
      </c>
      <c r="I166" s="12" t="s">
        <v>1</v>
      </c>
      <c r="J166" s="10"/>
      <c r="K166" s="10"/>
      <c r="L166" s="10"/>
      <c r="M166" s="12" t="s">
        <v>2</v>
      </c>
      <c r="N166" s="10"/>
    </row>
    <row r="167" spans="1:14" x14ac:dyDescent="0.2">
      <c r="A167" s="13" t="s">
        <v>3</v>
      </c>
      <c r="B167" s="14" t="s">
        <v>4</v>
      </c>
      <c r="C167" s="14" t="s">
        <v>24</v>
      </c>
      <c r="D167" s="14" t="s">
        <v>6</v>
      </c>
      <c r="E167" s="15" t="s">
        <v>7</v>
      </c>
      <c r="F167" s="10"/>
      <c r="G167" s="16" t="s">
        <v>8</v>
      </c>
      <c r="H167" s="14" t="s">
        <v>6</v>
      </c>
      <c r="I167" s="14" t="s">
        <v>6</v>
      </c>
      <c r="J167" s="14" t="s">
        <v>9</v>
      </c>
      <c r="K167" s="14" t="s">
        <v>10</v>
      </c>
      <c r="L167" s="10"/>
      <c r="M167" s="14" t="s">
        <v>11</v>
      </c>
      <c r="N167" s="14" t="s">
        <v>6</v>
      </c>
    </row>
    <row r="168" spans="1:14" outlineLevel="1" x14ac:dyDescent="0.2">
      <c r="A168" s="94" t="s">
        <v>12</v>
      </c>
      <c r="B168" s="3">
        <v>2014</v>
      </c>
      <c r="C168" s="4">
        <v>325087</v>
      </c>
      <c r="D168" s="6">
        <v>24458.39</v>
      </c>
      <c r="E168" s="7">
        <f t="shared" ref="E168:E179" si="12">+D168/C168</f>
        <v>7.5236444397961164E-2</v>
      </c>
      <c r="F168" s="9"/>
      <c r="G168" s="5">
        <v>201000</v>
      </c>
      <c r="H168" s="6">
        <v>868.17</v>
      </c>
      <c r="I168" s="6">
        <v>1156.44</v>
      </c>
      <c r="J168" s="8">
        <v>137.25</v>
      </c>
      <c r="K168" s="6">
        <v>1887.36</v>
      </c>
      <c r="L168" s="9"/>
      <c r="M168" s="5">
        <v>1052</v>
      </c>
      <c r="N168" s="6">
        <v>9015.31</v>
      </c>
    </row>
    <row r="169" spans="1:14" outlineLevel="1" x14ac:dyDescent="0.2">
      <c r="A169" s="20" t="s">
        <v>13</v>
      </c>
      <c r="B169" s="44">
        <v>2014</v>
      </c>
      <c r="C169" s="26">
        <v>310782</v>
      </c>
      <c r="D169" s="36">
        <v>25525.95</v>
      </c>
      <c r="E169" s="45">
        <f t="shared" si="12"/>
        <v>8.213458308396239E-2</v>
      </c>
      <c r="F169" s="10"/>
      <c r="G169" s="35">
        <v>185000</v>
      </c>
      <c r="H169" s="36">
        <v>784.95</v>
      </c>
      <c r="I169" s="36">
        <v>1047.46</v>
      </c>
      <c r="J169" s="23">
        <v>0</v>
      </c>
      <c r="K169" s="36">
        <v>1832.41</v>
      </c>
      <c r="L169" s="10"/>
      <c r="M169" s="35">
        <v>891</v>
      </c>
      <c r="N169" s="36">
        <v>7677.64</v>
      </c>
    </row>
    <row r="170" spans="1:14" outlineLevel="1" x14ac:dyDescent="0.2">
      <c r="A170" s="94" t="s">
        <v>14</v>
      </c>
      <c r="B170" s="3">
        <v>2014</v>
      </c>
      <c r="C170" s="4">
        <v>342957</v>
      </c>
      <c r="D170" s="6">
        <v>26489.13</v>
      </c>
      <c r="E170" s="7">
        <f t="shared" si="12"/>
        <v>7.7237467087710704E-2</v>
      </c>
      <c r="F170" s="9"/>
      <c r="G170" s="5">
        <v>210000</v>
      </c>
      <c r="H170" s="6">
        <v>903.36</v>
      </c>
      <c r="I170" s="6">
        <v>1206.1199999999999</v>
      </c>
      <c r="J170" s="8">
        <v>76.86</v>
      </c>
      <c r="K170" s="6">
        <v>2032.62</v>
      </c>
      <c r="L170" s="9"/>
      <c r="M170" s="5">
        <v>506</v>
      </c>
      <c r="N170" s="6">
        <v>4480.05</v>
      </c>
    </row>
    <row r="171" spans="1:14" outlineLevel="1" x14ac:dyDescent="0.2">
      <c r="A171" s="20" t="s">
        <v>15</v>
      </c>
      <c r="B171" s="44">
        <v>2014</v>
      </c>
      <c r="C171" s="26">
        <v>366544</v>
      </c>
      <c r="D171" s="36">
        <v>30008.02</v>
      </c>
      <c r="E171" s="45">
        <f t="shared" si="12"/>
        <v>8.186744292636082E-2</v>
      </c>
      <c r="F171" s="10"/>
      <c r="G171" s="35">
        <v>488000</v>
      </c>
      <c r="H171" s="36">
        <v>2002.33</v>
      </c>
      <c r="I171" s="36">
        <v>2766.88</v>
      </c>
      <c r="J171" s="23">
        <v>378.81</v>
      </c>
      <c r="K171" s="36">
        <v>4390.3999999999996</v>
      </c>
      <c r="L171" s="10"/>
      <c r="M171" s="35">
        <v>184</v>
      </c>
      <c r="N171" s="36">
        <v>1805.16</v>
      </c>
    </row>
    <row r="172" spans="1:14" outlineLevel="1" x14ac:dyDescent="0.2">
      <c r="A172" s="94" t="s">
        <v>16</v>
      </c>
      <c r="B172" s="3">
        <v>2014</v>
      </c>
      <c r="C172" s="4">
        <v>388348</v>
      </c>
      <c r="D172" s="6">
        <v>29015.43</v>
      </c>
      <c r="E172" s="7">
        <f t="shared" si="12"/>
        <v>7.4715023638592185E-2</v>
      </c>
      <c r="F172" s="9"/>
      <c r="G172" s="5">
        <v>409000</v>
      </c>
      <c r="H172" s="6">
        <v>1692.65</v>
      </c>
      <c r="I172" s="6">
        <v>2327.64</v>
      </c>
      <c r="J172" s="8">
        <v>556</v>
      </c>
      <c r="K172" s="6">
        <v>3464.29</v>
      </c>
      <c r="L172" s="9"/>
      <c r="M172" s="5">
        <v>31</v>
      </c>
      <c r="N172" s="6">
        <v>534.77</v>
      </c>
    </row>
    <row r="173" spans="1:14" outlineLevel="1" x14ac:dyDescent="0.2">
      <c r="A173" s="20" t="s">
        <v>17</v>
      </c>
      <c r="B173" s="44">
        <v>2014</v>
      </c>
      <c r="C173" s="26">
        <v>471980</v>
      </c>
      <c r="D173" s="36">
        <v>33918.980000000003</v>
      </c>
      <c r="E173" s="45">
        <f t="shared" si="12"/>
        <v>7.1865290902156875E-2</v>
      </c>
      <c r="F173" s="10"/>
      <c r="G173" s="35">
        <v>565000</v>
      </c>
      <c r="H173" s="36">
        <v>2304.17</v>
      </c>
      <c r="I173" s="36">
        <v>3171.53</v>
      </c>
      <c r="J173" s="23">
        <v>828.44</v>
      </c>
      <c r="K173" s="36">
        <v>4670.7299999999996</v>
      </c>
      <c r="L173" s="10"/>
      <c r="M173" s="35">
        <v>16</v>
      </c>
      <c r="N173" s="36">
        <v>410.22</v>
      </c>
    </row>
    <row r="174" spans="1:14" outlineLevel="1" x14ac:dyDescent="0.2">
      <c r="A174" s="94" t="s">
        <v>18</v>
      </c>
      <c r="B174" s="3">
        <v>2014</v>
      </c>
      <c r="C174" s="4">
        <v>447967</v>
      </c>
      <c r="D174" s="6">
        <v>32451.65</v>
      </c>
      <c r="E174" s="7">
        <f t="shared" si="12"/>
        <v>7.2442054883507051E-2</v>
      </c>
      <c r="F174" s="9"/>
      <c r="G174" s="5">
        <v>853000</v>
      </c>
      <c r="H174" s="6">
        <v>3433.13</v>
      </c>
      <c r="I174" s="6">
        <v>4796.28</v>
      </c>
      <c r="J174" s="8">
        <v>1123.1199999999999</v>
      </c>
      <c r="K174" s="6">
        <v>7106.29</v>
      </c>
      <c r="L174" s="9"/>
      <c r="M174" s="5">
        <v>48</v>
      </c>
      <c r="N174" s="6">
        <v>638.86</v>
      </c>
    </row>
    <row r="175" spans="1:14" outlineLevel="1" x14ac:dyDescent="0.2">
      <c r="A175" s="20" t="s">
        <v>19</v>
      </c>
      <c r="B175" s="44">
        <v>2014</v>
      </c>
      <c r="C175" s="26">
        <v>449725</v>
      </c>
      <c r="D175" s="36">
        <v>33569.06</v>
      </c>
      <c r="E175" s="45">
        <f t="shared" si="12"/>
        <v>7.464352659958863E-2</v>
      </c>
      <c r="F175" s="10"/>
      <c r="G175" s="35">
        <v>580000</v>
      </c>
      <c r="H175" s="36">
        <v>2362.9699999999998</v>
      </c>
      <c r="I175" s="36">
        <v>3278.4</v>
      </c>
      <c r="J175" s="23">
        <v>1706.92</v>
      </c>
      <c r="K175" s="36">
        <v>3934.45</v>
      </c>
      <c r="L175" s="10"/>
      <c r="M175" s="35">
        <v>17</v>
      </c>
      <c r="N175" s="36">
        <v>405.42</v>
      </c>
    </row>
    <row r="176" spans="1:14" outlineLevel="1" x14ac:dyDescent="0.2">
      <c r="A176" s="94" t="s">
        <v>20</v>
      </c>
      <c r="B176" s="3">
        <v>2014</v>
      </c>
      <c r="C176" s="4">
        <v>424768</v>
      </c>
      <c r="D176" s="6">
        <v>33726.03</v>
      </c>
      <c r="E176" s="7">
        <f t="shared" si="12"/>
        <v>7.9398707058912152E-2</v>
      </c>
      <c r="F176" s="9"/>
      <c r="G176" s="5">
        <v>535000</v>
      </c>
      <c r="H176" s="6">
        <v>2186.5700000000002</v>
      </c>
      <c r="I176" s="6">
        <v>3028.2</v>
      </c>
      <c r="J176" s="8">
        <v>1734.72</v>
      </c>
      <c r="K176" s="6">
        <v>3480.05</v>
      </c>
      <c r="L176" s="9"/>
      <c r="M176" s="5">
        <v>23</v>
      </c>
      <c r="N176" s="6">
        <v>450.65</v>
      </c>
    </row>
    <row r="177" spans="1:14" outlineLevel="1" x14ac:dyDescent="0.2">
      <c r="A177" s="20" t="s">
        <v>21</v>
      </c>
      <c r="B177" s="44">
        <v>2014</v>
      </c>
      <c r="C177" s="26">
        <v>407388</v>
      </c>
      <c r="D177" s="36">
        <v>33097.57</v>
      </c>
      <c r="E177" s="45">
        <f t="shared" si="12"/>
        <v>8.1243360138246581E-2</v>
      </c>
      <c r="F177" s="10"/>
      <c r="G177" s="35">
        <v>263000</v>
      </c>
      <c r="H177" s="36">
        <v>1120.33</v>
      </c>
      <c r="I177" s="36">
        <v>1515.88</v>
      </c>
      <c r="J177" s="23">
        <v>1656.88</v>
      </c>
      <c r="K177" s="36">
        <v>979.33</v>
      </c>
      <c r="L177" s="10"/>
      <c r="M177" s="35">
        <v>63</v>
      </c>
      <c r="N177" s="36">
        <v>752.16</v>
      </c>
    </row>
    <row r="178" spans="1:14" outlineLevel="1" x14ac:dyDescent="0.2">
      <c r="A178" s="94" t="s">
        <v>22</v>
      </c>
      <c r="B178" s="3">
        <v>2014</v>
      </c>
      <c r="C178" s="4">
        <v>338965</v>
      </c>
      <c r="D178" s="6">
        <v>34675.96</v>
      </c>
      <c r="E178" s="7">
        <f t="shared" si="12"/>
        <v>0.10229952944994321</v>
      </c>
      <c r="F178" s="9"/>
      <c r="G178" s="5">
        <v>285000</v>
      </c>
      <c r="H178" s="6">
        <v>1206.57</v>
      </c>
      <c r="I178" s="6">
        <v>1638.2</v>
      </c>
      <c r="J178" s="8">
        <v>1206.52</v>
      </c>
      <c r="K178" s="6">
        <v>1638.25</v>
      </c>
      <c r="L178" s="9"/>
      <c r="M178" s="5">
        <v>684</v>
      </c>
      <c r="N178" s="6">
        <v>5432.06</v>
      </c>
    </row>
    <row r="179" spans="1:14" outlineLevel="1" x14ac:dyDescent="0.2">
      <c r="A179" s="95" t="s">
        <v>23</v>
      </c>
      <c r="B179" s="37">
        <v>2014</v>
      </c>
      <c r="C179" s="38">
        <v>383468</v>
      </c>
      <c r="D179" s="39">
        <v>28057.55</v>
      </c>
      <c r="E179" s="40">
        <f t="shared" si="12"/>
        <v>7.3167904492682567E-2</v>
      </c>
      <c r="F179" s="20"/>
      <c r="G179" s="41">
        <v>230000</v>
      </c>
      <c r="H179" s="39">
        <v>990.97</v>
      </c>
      <c r="I179" s="39">
        <v>1332.4</v>
      </c>
      <c r="J179" s="42">
        <v>628.28</v>
      </c>
      <c r="K179" s="39">
        <v>1695.09</v>
      </c>
      <c r="L179" s="20"/>
      <c r="M179" s="41">
        <v>1071</v>
      </c>
      <c r="N179" s="39">
        <v>8346.64</v>
      </c>
    </row>
    <row r="180" spans="1:14" x14ac:dyDescent="0.2">
      <c r="A180" s="10"/>
      <c r="B180" s="10"/>
      <c r="C180" s="17">
        <f>SUM(C168:C179)</f>
        <v>4657979</v>
      </c>
      <c r="D180" s="18">
        <f>SUM(D168:D179)</f>
        <v>364993.72000000003</v>
      </c>
      <c r="E180" s="19">
        <f>AVERAGE(E168:E179)</f>
        <v>7.885427788830203E-2</v>
      </c>
      <c r="F180" s="20"/>
      <c r="G180" s="21">
        <f>SUM(G168:G179)</f>
        <v>4804000</v>
      </c>
      <c r="H180" s="22">
        <f>SUM(H168:H179)</f>
        <v>19856.169999999998</v>
      </c>
      <c r="I180" s="22">
        <f>SUM(I168:I179)</f>
        <v>27265.430000000004</v>
      </c>
      <c r="J180" s="23">
        <f>SUM(J168:J179)</f>
        <v>10033.800000000001</v>
      </c>
      <c r="K180" s="18">
        <f>SUM(K168:K179)</f>
        <v>37111.269999999997</v>
      </c>
      <c r="L180" s="24"/>
      <c r="M180" s="25">
        <f>SUM(M168:M179)</f>
        <v>4586</v>
      </c>
      <c r="N180" s="18">
        <f>SUM(N168:N179)</f>
        <v>39948.94</v>
      </c>
    </row>
    <row r="181" spans="1:14" x14ac:dyDescent="0.2">
      <c r="A181" s="10"/>
      <c r="B181" s="10"/>
      <c r="C181" s="17"/>
      <c r="D181" s="18"/>
      <c r="E181" s="19"/>
      <c r="F181" s="20"/>
      <c r="G181" s="21"/>
      <c r="H181" s="22"/>
      <c r="I181" s="22"/>
      <c r="J181" s="23"/>
      <c r="K181" s="18"/>
      <c r="L181" s="24"/>
      <c r="M181" s="25"/>
      <c r="N181" s="18"/>
    </row>
    <row r="182" spans="1:14" x14ac:dyDescent="0.2">
      <c r="A182" s="10"/>
      <c r="B182" s="10"/>
      <c r="C182" s="17"/>
      <c r="D182" s="18"/>
      <c r="E182" s="19"/>
      <c r="F182" s="20"/>
      <c r="G182" s="21"/>
      <c r="H182" s="22"/>
      <c r="I182" s="22"/>
      <c r="J182" s="23"/>
      <c r="K182" s="18"/>
      <c r="L182" s="24"/>
      <c r="M182" s="25"/>
      <c r="N182" s="18"/>
    </row>
    <row r="183" spans="1:14" x14ac:dyDescent="0.2">
      <c r="A183" s="10"/>
      <c r="B183" s="10"/>
      <c r="C183" s="26"/>
      <c r="D183" s="27"/>
      <c r="E183" s="28"/>
      <c r="F183" s="28"/>
      <c r="G183" s="26"/>
      <c r="H183" s="27"/>
      <c r="I183" s="27"/>
      <c r="J183" s="29"/>
      <c r="K183" s="27"/>
      <c r="L183" s="10"/>
      <c r="M183" s="26"/>
      <c r="N183" s="27"/>
    </row>
    <row r="184" spans="1:14" x14ac:dyDescent="0.2">
      <c r="A184" s="11">
        <v>2015</v>
      </c>
      <c r="B184" s="10"/>
      <c r="C184" s="10"/>
      <c r="D184" s="10"/>
      <c r="E184" s="10"/>
      <c r="F184" s="10"/>
      <c r="G184" s="10"/>
      <c r="H184" s="12" t="s">
        <v>0</v>
      </c>
      <c r="I184" s="12" t="s">
        <v>1</v>
      </c>
      <c r="J184" s="10"/>
      <c r="K184" s="10"/>
      <c r="L184" s="10"/>
      <c r="M184" s="12" t="s">
        <v>2</v>
      </c>
      <c r="N184" s="10"/>
    </row>
    <row r="185" spans="1:14" x14ac:dyDescent="0.2">
      <c r="A185" s="13" t="s">
        <v>3</v>
      </c>
      <c r="B185" s="14" t="s">
        <v>4</v>
      </c>
      <c r="C185" s="14" t="s">
        <v>24</v>
      </c>
      <c r="D185" s="14" t="s">
        <v>6</v>
      </c>
      <c r="E185" s="15" t="s">
        <v>7</v>
      </c>
      <c r="F185" s="10"/>
      <c r="G185" s="16" t="s">
        <v>8</v>
      </c>
      <c r="H185" s="14" t="s">
        <v>6</v>
      </c>
      <c r="I185" s="14" t="s">
        <v>6</v>
      </c>
      <c r="J185" s="14" t="s">
        <v>9</v>
      </c>
      <c r="K185" s="14" t="s">
        <v>10</v>
      </c>
      <c r="L185" s="10"/>
      <c r="M185" s="14" t="s">
        <v>11</v>
      </c>
      <c r="N185" s="14" t="s">
        <v>6</v>
      </c>
    </row>
    <row r="186" spans="1:14" outlineLevel="1" x14ac:dyDescent="0.2">
      <c r="A186" s="94" t="s">
        <v>12</v>
      </c>
      <c r="B186" s="3">
        <v>2015</v>
      </c>
      <c r="C186" s="4">
        <v>372819</v>
      </c>
      <c r="D186" s="6">
        <v>27872.53</v>
      </c>
      <c r="E186" s="7">
        <f t="shared" ref="E186:E197" si="13">+D186/C186</f>
        <v>7.4761559899039473E-2</v>
      </c>
      <c r="F186" s="9"/>
      <c r="G186" s="5">
        <v>235000</v>
      </c>
      <c r="H186" s="6">
        <v>1010.57</v>
      </c>
      <c r="I186" s="6">
        <v>1360.2</v>
      </c>
      <c r="J186" s="8">
        <v>533.76</v>
      </c>
      <c r="K186" s="6">
        <f>SUM(H186+I186-J186)</f>
        <v>1837.01</v>
      </c>
      <c r="L186" s="9"/>
      <c r="M186" s="5">
        <v>978</v>
      </c>
      <c r="N186" s="6">
        <v>6971.1</v>
      </c>
    </row>
    <row r="187" spans="1:14" outlineLevel="1" x14ac:dyDescent="0.2">
      <c r="A187" s="20" t="s">
        <v>13</v>
      </c>
      <c r="B187" s="44">
        <v>2015</v>
      </c>
      <c r="C187" s="26">
        <v>354482</v>
      </c>
      <c r="D187" s="36">
        <v>26952.46</v>
      </c>
      <c r="E187" s="45">
        <f t="shared" si="13"/>
        <v>7.6033366997478008E-2</v>
      </c>
      <c r="F187" s="10"/>
      <c r="G187" s="35">
        <v>215000</v>
      </c>
      <c r="H187" s="36">
        <v>932.17</v>
      </c>
      <c r="I187" s="36">
        <v>1249</v>
      </c>
      <c r="J187" s="23">
        <v>439.24</v>
      </c>
      <c r="K187" s="36">
        <f t="shared" ref="K187:K197" si="14">SUM(H187+I187-J187)</f>
        <v>1741.93</v>
      </c>
      <c r="L187" s="10"/>
      <c r="M187" s="35">
        <v>991</v>
      </c>
      <c r="N187" s="36">
        <v>7060.07</v>
      </c>
    </row>
    <row r="188" spans="1:14" outlineLevel="1" x14ac:dyDescent="0.2">
      <c r="A188" s="94" t="s">
        <v>14</v>
      </c>
      <c r="B188" s="3">
        <v>2015</v>
      </c>
      <c r="C188" s="4">
        <v>377225</v>
      </c>
      <c r="D188" s="6">
        <v>28295.96</v>
      </c>
      <c r="E188" s="7">
        <f t="shared" si="13"/>
        <v>7.5010829080787322E-2</v>
      </c>
      <c r="F188" s="9"/>
      <c r="G188" s="5">
        <v>205000</v>
      </c>
      <c r="H188" s="6">
        <v>892.97</v>
      </c>
      <c r="I188" s="6">
        <v>1193.4000000000001</v>
      </c>
      <c r="J188" s="8">
        <v>533.76</v>
      </c>
      <c r="K188" s="6">
        <f t="shared" si="14"/>
        <v>1552.61</v>
      </c>
      <c r="L188" s="9"/>
      <c r="M188" s="5">
        <v>474</v>
      </c>
      <c r="N188" s="6">
        <v>3523.33</v>
      </c>
    </row>
    <row r="189" spans="1:14" outlineLevel="1" x14ac:dyDescent="0.2">
      <c r="A189" s="20" t="s">
        <v>15</v>
      </c>
      <c r="B189" s="44">
        <v>2015</v>
      </c>
      <c r="C189" s="26">
        <v>354541</v>
      </c>
      <c r="D189" s="36">
        <v>27347.4</v>
      </c>
      <c r="E189" s="45">
        <f t="shared" si="13"/>
        <v>7.7134661435489832E-2</v>
      </c>
      <c r="F189" s="10"/>
      <c r="G189" s="35">
        <v>240000</v>
      </c>
      <c r="H189" s="36">
        <v>1030.78</v>
      </c>
      <c r="I189" s="36">
        <v>1388.6</v>
      </c>
      <c r="J189" s="23">
        <v>389.2</v>
      </c>
      <c r="K189" s="36">
        <f t="shared" si="14"/>
        <v>2030.18</v>
      </c>
      <c r="L189" s="10"/>
      <c r="M189" s="35">
        <v>85</v>
      </c>
      <c r="N189" s="36">
        <v>859.31</v>
      </c>
    </row>
    <row r="190" spans="1:14" outlineLevel="1" x14ac:dyDescent="0.2">
      <c r="A190" s="94" t="s">
        <v>16</v>
      </c>
      <c r="B190" s="3">
        <v>2015</v>
      </c>
      <c r="C190" s="4">
        <v>389700</v>
      </c>
      <c r="D190" s="6">
        <v>29696.61</v>
      </c>
      <c r="E190" s="7">
        <f t="shared" si="13"/>
        <v>7.6203772132409545E-2</v>
      </c>
      <c r="F190" s="9"/>
      <c r="G190" s="5">
        <v>265000</v>
      </c>
      <c r="H190" s="6">
        <v>1179.46</v>
      </c>
      <c r="I190" s="6">
        <v>1592.62</v>
      </c>
      <c r="J190" s="8">
        <v>706.12</v>
      </c>
      <c r="K190" s="6">
        <f t="shared" si="14"/>
        <v>2065.96</v>
      </c>
      <c r="L190" s="9"/>
      <c r="M190" s="5">
        <v>56</v>
      </c>
      <c r="N190" s="6">
        <v>660.71</v>
      </c>
    </row>
    <row r="191" spans="1:14" outlineLevel="1" x14ac:dyDescent="0.2">
      <c r="A191" s="20" t="s">
        <v>17</v>
      </c>
      <c r="B191" s="44">
        <v>2015</v>
      </c>
      <c r="C191" s="26">
        <v>453261</v>
      </c>
      <c r="D191" s="36">
        <v>33003.019999999997</v>
      </c>
      <c r="E191" s="45">
        <f t="shared" si="13"/>
        <v>7.281239727221181E-2</v>
      </c>
      <c r="F191" s="10"/>
      <c r="G191" s="35">
        <v>375000</v>
      </c>
      <c r="H191" s="36">
        <v>1630.47</v>
      </c>
      <c r="I191" s="36">
        <v>2230.61</v>
      </c>
      <c r="J191" s="23">
        <v>893.2</v>
      </c>
      <c r="K191" s="36">
        <f t="shared" si="14"/>
        <v>2967.88</v>
      </c>
      <c r="L191" s="10"/>
      <c r="M191" s="35">
        <v>38</v>
      </c>
      <c r="N191" s="36">
        <v>537.44000000000005</v>
      </c>
    </row>
    <row r="192" spans="1:14" outlineLevel="1" x14ac:dyDescent="0.2">
      <c r="A192" s="94" t="s">
        <v>18</v>
      </c>
      <c r="B192" s="3">
        <v>2015</v>
      </c>
      <c r="C192" s="4">
        <v>487463</v>
      </c>
      <c r="D192" s="6">
        <v>35417.19</v>
      </c>
      <c r="E192" s="7">
        <f t="shared" si="13"/>
        <v>7.2656160570135589E-2</v>
      </c>
      <c r="F192" s="9"/>
      <c r="G192" s="5">
        <v>760000</v>
      </c>
      <c r="H192" s="6">
        <v>3208.96</v>
      </c>
      <c r="I192" s="6">
        <v>4463.62</v>
      </c>
      <c r="J192" s="8">
        <v>1299.2</v>
      </c>
      <c r="K192" s="6">
        <f t="shared" si="14"/>
        <v>6373.38</v>
      </c>
      <c r="L192" s="9"/>
      <c r="M192" s="5">
        <v>28</v>
      </c>
      <c r="N192" s="6">
        <v>456.09</v>
      </c>
    </row>
    <row r="193" spans="1:14" outlineLevel="1" x14ac:dyDescent="0.2">
      <c r="A193" s="20" t="s">
        <v>19</v>
      </c>
      <c r="B193" s="44">
        <v>2015</v>
      </c>
      <c r="C193" s="26">
        <v>436994</v>
      </c>
      <c r="D193" s="36">
        <v>32861.279999999999</v>
      </c>
      <c r="E193" s="45">
        <f t="shared" si="13"/>
        <v>7.5198469544204269E-2</v>
      </c>
      <c r="F193" s="10"/>
      <c r="G193" s="35">
        <v>790000</v>
      </c>
      <c r="H193" s="36">
        <v>3331.97</v>
      </c>
      <c r="I193" s="36">
        <v>4637.6099999999997</v>
      </c>
      <c r="J193" s="23">
        <v>1763.2</v>
      </c>
      <c r="K193" s="36">
        <f t="shared" si="14"/>
        <v>6206.38</v>
      </c>
      <c r="L193" s="10"/>
      <c r="M193" s="35">
        <v>24</v>
      </c>
      <c r="N193" s="36">
        <v>430.53</v>
      </c>
    </row>
    <row r="194" spans="1:14" outlineLevel="1" x14ac:dyDescent="0.2">
      <c r="A194" s="94" t="s">
        <v>20</v>
      </c>
      <c r="B194" s="3">
        <v>2015</v>
      </c>
      <c r="C194" s="4">
        <v>427942</v>
      </c>
      <c r="D194" s="6">
        <v>31034.52</v>
      </c>
      <c r="E194" s="7">
        <f t="shared" si="13"/>
        <v>7.2520388276916037E-2</v>
      </c>
      <c r="F194" s="9"/>
      <c r="G194" s="5">
        <v>640000</v>
      </c>
      <c r="H194" s="6">
        <v>2694.95</v>
      </c>
      <c r="I194" s="6">
        <v>3745.6</v>
      </c>
      <c r="J194" s="8">
        <v>0</v>
      </c>
      <c r="K194" s="6">
        <f t="shared" si="14"/>
        <v>6440.5499999999993</v>
      </c>
      <c r="L194" s="9"/>
      <c r="M194" s="5">
        <v>28</v>
      </c>
      <c r="N194" s="6">
        <v>456.01</v>
      </c>
    </row>
    <row r="195" spans="1:14" outlineLevel="1" x14ac:dyDescent="0.2">
      <c r="A195" s="20" t="s">
        <v>21</v>
      </c>
      <c r="B195" s="44">
        <v>2015</v>
      </c>
      <c r="C195" s="26">
        <v>373464</v>
      </c>
      <c r="D195" s="36">
        <v>28441.62</v>
      </c>
      <c r="E195" s="45">
        <f t="shared" si="13"/>
        <v>7.6156256024677071E-2</v>
      </c>
      <c r="F195" s="10"/>
      <c r="G195" s="35">
        <v>455000</v>
      </c>
      <c r="H195" s="36">
        <v>1958.47</v>
      </c>
      <c r="I195" s="36">
        <v>2694.61</v>
      </c>
      <c r="J195" s="23">
        <v>3920.8</v>
      </c>
      <c r="K195" s="36">
        <f t="shared" si="14"/>
        <v>732.27999999999975</v>
      </c>
      <c r="L195" s="10"/>
      <c r="M195" s="35">
        <v>68</v>
      </c>
      <c r="N195" s="36">
        <v>711.12</v>
      </c>
    </row>
    <row r="196" spans="1:14" outlineLevel="1" x14ac:dyDescent="0.2">
      <c r="A196" s="94" t="s">
        <v>22</v>
      </c>
      <c r="B196" s="3">
        <v>2015</v>
      </c>
      <c r="C196" s="4">
        <v>366285</v>
      </c>
      <c r="D196" s="6">
        <v>28670.74</v>
      </c>
      <c r="E196" s="7">
        <f t="shared" si="13"/>
        <v>7.8274403811239887E-2</v>
      </c>
      <c r="F196" s="9"/>
      <c r="G196" s="5">
        <v>325000</v>
      </c>
      <c r="H196" s="6">
        <v>1425.47</v>
      </c>
      <c r="I196" s="6">
        <v>1940.61</v>
      </c>
      <c r="J196" s="8">
        <v>1183.2</v>
      </c>
      <c r="K196" s="6">
        <f t="shared" si="14"/>
        <v>2182.88</v>
      </c>
      <c r="L196" s="9"/>
      <c r="M196" s="5">
        <v>471</v>
      </c>
      <c r="N196" s="6">
        <v>3281.24</v>
      </c>
    </row>
    <row r="197" spans="1:14" outlineLevel="1" x14ac:dyDescent="0.2">
      <c r="A197" s="95" t="s">
        <v>23</v>
      </c>
      <c r="B197" s="37">
        <v>2015</v>
      </c>
      <c r="C197" s="38">
        <v>346589</v>
      </c>
      <c r="D197" s="39">
        <v>26833.99</v>
      </c>
      <c r="E197" s="40">
        <f t="shared" si="13"/>
        <v>7.7423086133720342E-2</v>
      </c>
      <c r="F197" s="20"/>
      <c r="G197" s="41">
        <v>250000</v>
      </c>
      <c r="H197" s="39">
        <v>1117.97</v>
      </c>
      <c r="I197" s="39">
        <v>1505.61</v>
      </c>
      <c r="J197" s="42">
        <v>794.6</v>
      </c>
      <c r="K197" s="39">
        <f t="shared" si="14"/>
        <v>1828.98</v>
      </c>
      <c r="L197" s="20"/>
      <c r="M197" s="41">
        <v>860</v>
      </c>
      <c r="N197" s="39">
        <v>5761.89</v>
      </c>
    </row>
    <row r="198" spans="1:14" x14ac:dyDescent="0.2">
      <c r="A198" s="10"/>
      <c r="B198" s="10"/>
      <c r="C198" s="17">
        <f>SUM(C186:C197)</f>
        <v>4740765</v>
      </c>
      <c r="D198" s="18">
        <f>SUM(D186:D197)</f>
        <v>356427.32</v>
      </c>
      <c r="E198" s="19">
        <f>AVERAGE(E186:E197)</f>
        <v>7.5348779264859098E-2</v>
      </c>
      <c r="F198" s="20"/>
      <c r="G198" s="21">
        <f>SUM(G186:G197)</f>
        <v>4755000</v>
      </c>
      <c r="H198" s="22">
        <f>SUM(H186:H197)</f>
        <v>20414.210000000003</v>
      </c>
      <c r="I198" s="22">
        <f>SUM(I186:I197)</f>
        <v>28002.09</v>
      </c>
      <c r="J198" s="23">
        <f>SUM(J186:J197)</f>
        <v>12456.28</v>
      </c>
      <c r="K198" s="18">
        <f>SUM(K186:K197)</f>
        <v>35960.020000000004</v>
      </c>
      <c r="L198" s="24"/>
      <c r="M198" s="25">
        <f>SUM(M186:M197)</f>
        <v>4101</v>
      </c>
      <c r="N198" s="18">
        <f>SUM(N186:N197)</f>
        <v>30708.839999999997</v>
      </c>
    </row>
    <row r="199" spans="1:14" x14ac:dyDescent="0.2">
      <c r="A199" s="10"/>
      <c r="B199" s="10"/>
      <c r="C199" s="17"/>
      <c r="D199" s="18"/>
      <c r="E199" s="19"/>
      <c r="F199" s="20"/>
      <c r="G199" s="21"/>
      <c r="H199" s="22"/>
      <c r="I199" s="22"/>
      <c r="J199" s="23"/>
      <c r="K199" s="18"/>
      <c r="L199" s="24"/>
      <c r="M199" s="25"/>
      <c r="N199" s="18"/>
    </row>
    <row r="200" spans="1:14" x14ac:dyDescent="0.2">
      <c r="A200" s="10"/>
      <c r="B200" s="10"/>
      <c r="C200" s="17"/>
      <c r="D200" s="18"/>
      <c r="E200" s="19"/>
      <c r="F200" s="20"/>
      <c r="G200" s="21"/>
      <c r="H200" s="22"/>
      <c r="I200" s="22"/>
      <c r="J200" s="23"/>
      <c r="K200" s="18"/>
      <c r="L200" s="24"/>
      <c r="M200" s="25"/>
      <c r="N200" s="18"/>
    </row>
    <row r="201" spans="1:14" x14ac:dyDescent="0.2">
      <c r="A201" s="10"/>
      <c r="B201" s="10"/>
      <c r="C201" s="26"/>
      <c r="D201" s="27"/>
      <c r="E201" s="28"/>
      <c r="F201" s="28"/>
      <c r="G201" s="26"/>
      <c r="H201" s="27"/>
      <c r="I201" s="27"/>
      <c r="J201" s="29"/>
      <c r="K201" s="27"/>
      <c r="L201" s="10"/>
      <c r="M201" s="26"/>
      <c r="N201" s="27"/>
    </row>
    <row r="202" spans="1:14" x14ac:dyDescent="0.2">
      <c r="A202" s="11">
        <v>2016</v>
      </c>
      <c r="B202" s="10"/>
      <c r="C202" s="10"/>
      <c r="D202" s="10"/>
      <c r="E202" s="10"/>
      <c r="F202" s="10"/>
      <c r="G202" s="10"/>
      <c r="H202" s="12" t="s">
        <v>0</v>
      </c>
      <c r="I202" s="12" t="s">
        <v>1</v>
      </c>
      <c r="J202" s="10"/>
      <c r="K202" s="10"/>
      <c r="L202" s="10"/>
      <c r="M202" s="12" t="s">
        <v>2</v>
      </c>
      <c r="N202" s="10"/>
    </row>
    <row r="203" spans="1:14" x14ac:dyDescent="0.2">
      <c r="A203" s="13" t="s">
        <v>3</v>
      </c>
      <c r="B203" s="14" t="s">
        <v>4</v>
      </c>
      <c r="C203" s="14" t="s">
        <v>24</v>
      </c>
      <c r="D203" s="14" t="s">
        <v>6</v>
      </c>
      <c r="E203" s="15" t="s">
        <v>7</v>
      </c>
      <c r="F203" s="10"/>
      <c r="G203" s="16" t="s">
        <v>8</v>
      </c>
      <c r="H203" s="14" t="s">
        <v>6</v>
      </c>
      <c r="I203" s="14" t="s">
        <v>6</v>
      </c>
      <c r="J203" s="14" t="s">
        <v>9</v>
      </c>
      <c r="K203" s="14" t="s">
        <v>10</v>
      </c>
      <c r="L203" s="10"/>
      <c r="M203" s="14" t="s">
        <v>11</v>
      </c>
      <c r="N203" s="14" t="s">
        <v>6</v>
      </c>
    </row>
    <row r="204" spans="1:14" outlineLevel="1" x14ac:dyDescent="0.2">
      <c r="A204" s="94" t="s">
        <v>12</v>
      </c>
      <c r="B204" s="3">
        <v>2016</v>
      </c>
      <c r="C204" s="4">
        <v>328686</v>
      </c>
      <c r="D204" s="6">
        <v>25955.14</v>
      </c>
      <c r="E204" s="7">
        <f t="shared" ref="E204:E215" si="15">+D204/C204</f>
        <v>7.8966369118246588E-2</v>
      </c>
      <c r="F204" s="9"/>
      <c r="G204" s="5">
        <v>250000</v>
      </c>
      <c r="H204" s="6">
        <v>1117.96</v>
      </c>
      <c r="I204" s="6">
        <v>1505.62</v>
      </c>
      <c r="J204" s="8">
        <v>556.79999999999995</v>
      </c>
      <c r="K204" s="6">
        <f>SUM(H204+I204-J204)</f>
        <v>2066.7799999999997</v>
      </c>
      <c r="L204" s="9"/>
      <c r="M204" s="5">
        <v>988</v>
      </c>
      <c r="N204" s="6">
        <v>5998.62</v>
      </c>
    </row>
    <row r="205" spans="1:14" outlineLevel="1" x14ac:dyDescent="0.2">
      <c r="A205" s="20" t="s">
        <v>13</v>
      </c>
      <c r="B205" s="44">
        <v>2016</v>
      </c>
      <c r="C205" s="26">
        <v>356188</v>
      </c>
      <c r="D205" s="36">
        <v>27187.91</v>
      </c>
      <c r="E205" s="45">
        <f t="shared" si="15"/>
        <v>7.6330224488191628E-2</v>
      </c>
      <c r="F205" s="10"/>
      <c r="G205" s="35">
        <v>210000</v>
      </c>
      <c r="H205" s="36">
        <v>954.08</v>
      </c>
      <c r="I205" s="36">
        <v>1273.74</v>
      </c>
      <c r="J205" s="23">
        <v>452.4</v>
      </c>
      <c r="K205" s="36">
        <f t="shared" ref="K205:K215" si="16">SUM(H205+I205-J205)</f>
        <v>1775.42</v>
      </c>
      <c r="L205" s="10"/>
      <c r="M205" s="35">
        <v>589</v>
      </c>
      <c r="N205" s="36">
        <v>3686.87</v>
      </c>
    </row>
    <row r="206" spans="1:14" outlineLevel="1" x14ac:dyDescent="0.2">
      <c r="A206" s="94" t="s">
        <v>14</v>
      </c>
      <c r="B206" s="3">
        <v>2016</v>
      </c>
      <c r="C206" s="4">
        <v>374483</v>
      </c>
      <c r="D206" s="6">
        <v>28317.98</v>
      </c>
      <c r="E206" s="7">
        <f t="shared" si="15"/>
        <v>7.5618866544008678E-2</v>
      </c>
      <c r="F206" s="9"/>
      <c r="G206" s="5">
        <v>205000</v>
      </c>
      <c r="H206" s="6">
        <v>933.58</v>
      </c>
      <c r="I206" s="6">
        <v>1244.74</v>
      </c>
      <c r="J206" s="8">
        <v>574.20000000000005</v>
      </c>
      <c r="K206" s="6">
        <f t="shared" si="16"/>
        <v>1604.1200000000001</v>
      </c>
      <c r="L206" s="9"/>
      <c r="M206" s="5">
        <v>344</v>
      </c>
      <c r="N206" s="6">
        <v>2269.39</v>
      </c>
    </row>
    <row r="207" spans="1:14" outlineLevel="1" x14ac:dyDescent="0.2">
      <c r="A207" s="20" t="s">
        <v>15</v>
      </c>
      <c r="B207" s="44">
        <v>2016</v>
      </c>
      <c r="C207" s="26">
        <v>331157</v>
      </c>
      <c r="D207" s="36">
        <v>26602.59</v>
      </c>
      <c r="E207" s="45">
        <f t="shared" si="15"/>
        <v>8.0332259321107505E-2</v>
      </c>
      <c r="F207" s="10"/>
      <c r="G207" s="35">
        <v>205000</v>
      </c>
      <c r="H207" s="36">
        <v>911.45</v>
      </c>
      <c r="I207" s="36">
        <v>1222.5999999999999</v>
      </c>
      <c r="J207" s="23">
        <v>0</v>
      </c>
      <c r="K207" s="36">
        <f t="shared" si="16"/>
        <v>2134.0500000000002</v>
      </c>
      <c r="L207" s="10"/>
      <c r="M207" s="35">
        <v>56</v>
      </c>
      <c r="N207" s="36">
        <v>601.42999999999995</v>
      </c>
    </row>
    <row r="208" spans="1:14" outlineLevel="1" x14ac:dyDescent="0.2">
      <c r="A208" s="94" t="s">
        <v>16</v>
      </c>
      <c r="B208" s="3">
        <v>2016</v>
      </c>
      <c r="C208" s="4">
        <v>390963</v>
      </c>
      <c r="D208" s="6">
        <v>30666.75</v>
      </c>
      <c r="E208" s="7">
        <f t="shared" si="15"/>
        <v>7.8439008294902593E-2</v>
      </c>
      <c r="F208" s="9"/>
      <c r="G208" s="5">
        <v>230000</v>
      </c>
      <c r="H208" s="6">
        <v>1026.44</v>
      </c>
      <c r="I208" s="6">
        <v>1386.47</v>
      </c>
      <c r="J208" s="8">
        <v>0</v>
      </c>
      <c r="K208" s="6">
        <f t="shared" si="16"/>
        <v>2412.91</v>
      </c>
      <c r="L208" s="9"/>
      <c r="M208" s="5">
        <v>51</v>
      </c>
      <c r="N208" s="6">
        <v>572.48</v>
      </c>
    </row>
    <row r="209" spans="1:14" outlineLevel="1" x14ac:dyDescent="0.2">
      <c r="A209" s="20" t="s">
        <v>17</v>
      </c>
      <c r="B209" s="44">
        <v>2016</v>
      </c>
      <c r="C209" s="26">
        <v>425106</v>
      </c>
      <c r="D209" s="36">
        <v>34965</v>
      </c>
      <c r="E209" s="45">
        <f t="shared" si="15"/>
        <v>8.2250074099165849E-2</v>
      </c>
      <c r="F209" s="10"/>
      <c r="G209" s="35">
        <v>335000</v>
      </c>
      <c r="H209" s="36">
        <v>1462.16</v>
      </c>
      <c r="I209" s="36">
        <v>2245.16</v>
      </c>
      <c r="J209" s="23">
        <v>0</v>
      </c>
      <c r="K209" s="36">
        <f t="shared" si="16"/>
        <v>3707.3199999999997</v>
      </c>
      <c r="L209" s="10"/>
      <c r="M209" s="35">
        <v>31</v>
      </c>
      <c r="N209" s="36">
        <v>485.24</v>
      </c>
    </row>
    <row r="210" spans="1:14" outlineLevel="1" x14ac:dyDescent="0.2">
      <c r="A210" s="94" t="s">
        <v>18</v>
      </c>
      <c r="B210" s="3">
        <v>2016</v>
      </c>
      <c r="C210" s="4">
        <v>411965</v>
      </c>
      <c r="D210" s="6">
        <v>32071.57</v>
      </c>
      <c r="E210" s="7">
        <f t="shared" si="15"/>
        <v>7.7850229995266584E-2</v>
      </c>
      <c r="F210" s="9"/>
      <c r="G210" s="5">
        <v>515000</v>
      </c>
      <c r="H210" s="6">
        <v>2209.19</v>
      </c>
      <c r="I210" s="6">
        <v>3062.27</v>
      </c>
      <c r="J210" s="8">
        <v>0</v>
      </c>
      <c r="K210" s="6">
        <f t="shared" si="16"/>
        <v>5271.46</v>
      </c>
      <c r="L210" s="9"/>
      <c r="M210" s="5">
        <v>23</v>
      </c>
      <c r="N210" s="6">
        <v>456.78</v>
      </c>
    </row>
    <row r="211" spans="1:14" outlineLevel="1" x14ac:dyDescent="0.2">
      <c r="A211" s="20" t="s">
        <v>19</v>
      </c>
      <c r="B211" s="44">
        <v>2016</v>
      </c>
      <c r="C211" s="26">
        <v>438702</v>
      </c>
      <c r="D211" s="36">
        <v>33288</v>
      </c>
      <c r="E211" s="45">
        <f t="shared" si="15"/>
        <v>7.5878386695296576E-2</v>
      </c>
      <c r="F211" s="10"/>
      <c r="G211" s="35">
        <v>530000</v>
      </c>
      <c r="H211" s="36">
        <v>2271.44</v>
      </c>
      <c r="I211" s="36">
        <v>3150.47</v>
      </c>
      <c r="J211" s="23">
        <v>0</v>
      </c>
      <c r="K211" s="36">
        <f t="shared" si="16"/>
        <v>5421.91</v>
      </c>
      <c r="L211" s="10"/>
      <c r="M211" s="35">
        <v>32</v>
      </c>
      <c r="N211" s="36">
        <v>515.85</v>
      </c>
    </row>
    <row r="212" spans="1:14" outlineLevel="1" x14ac:dyDescent="0.2">
      <c r="A212" s="94" t="s">
        <v>20</v>
      </c>
      <c r="B212" s="3">
        <v>2016</v>
      </c>
      <c r="C212" s="4">
        <v>380555</v>
      </c>
      <c r="D212" s="6">
        <v>30264</v>
      </c>
      <c r="E212" s="7">
        <f t="shared" si="15"/>
        <v>7.9525955512343816E-2</v>
      </c>
      <c r="F212" s="9"/>
      <c r="G212" s="5">
        <v>520000</v>
      </c>
      <c r="H212" s="6">
        <v>2229.94</v>
      </c>
      <c r="I212" s="6">
        <v>3091.67</v>
      </c>
      <c r="J212" s="8">
        <v>0</v>
      </c>
      <c r="K212" s="6">
        <f t="shared" si="16"/>
        <v>5321.6100000000006</v>
      </c>
      <c r="L212" s="9"/>
      <c r="M212" s="5">
        <v>27</v>
      </c>
      <c r="N212" s="6">
        <v>483.03</v>
      </c>
    </row>
    <row r="213" spans="1:14" outlineLevel="1" x14ac:dyDescent="0.2">
      <c r="A213" s="20" t="s">
        <v>21</v>
      </c>
      <c r="B213" s="44">
        <v>2016</v>
      </c>
      <c r="C213" s="26">
        <v>357645</v>
      </c>
      <c r="D213" s="36">
        <v>28298.959999999999</v>
      </c>
      <c r="E213" s="45">
        <f t="shared" si="15"/>
        <v>7.9125837073075259E-2</v>
      </c>
      <c r="F213" s="10"/>
      <c r="G213" s="35">
        <v>380000</v>
      </c>
      <c r="H213" s="36">
        <v>1648.94</v>
      </c>
      <c r="I213" s="36">
        <v>2268.4699999999998</v>
      </c>
      <c r="J213" s="23">
        <v>0</v>
      </c>
      <c r="K213" s="36">
        <f t="shared" si="16"/>
        <v>3917.41</v>
      </c>
      <c r="L213" s="10"/>
      <c r="M213" s="35">
        <v>61</v>
      </c>
      <c r="N213" s="36">
        <v>705.89</v>
      </c>
    </row>
    <row r="214" spans="1:14" outlineLevel="1" x14ac:dyDescent="0.2">
      <c r="A214" s="94" t="s">
        <v>22</v>
      </c>
      <c r="B214" s="3">
        <v>2016</v>
      </c>
      <c r="C214" s="4">
        <v>359103</v>
      </c>
      <c r="D214" s="6">
        <v>27506.26</v>
      </c>
      <c r="E214" s="7">
        <f t="shared" si="15"/>
        <v>7.6597132299089668E-2</v>
      </c>
      <c r="F214" s="9"/>
      <c r="G214" s="5">
        <v>695000</v>
      </c>
      <c r="H214" s="6">
        <v>4120.67</v>
      </c>
      <c r="I214" s="6">
        <v>2956.19</v>
      </c>
      <c r="J214" s="8">
        <v>0</v>
      </c>
      <c r="K214" s="6">
        <f t="shared" si="16"/>
        <v>7076.8600000000006</v>
      </c>
      <c r="L214" s="9"/>
      <c r="M214" s="5">
        <v>325</v>
      </c>
      <c r="N214" s="6">
        <v>2437.42</v>
      </c>
    </row>
    <row r="215" spans="1:14" outlineLevel="1" x14ac:dyDescent="0.2">
      <c r="A215" s="95" t="s">
        <v>23</v>
      </c>
      <c r="B215" s="37">
        <v>2016</v>
      </c>
      <c r="C215" s="38">
        <v>344992</v>
      </c>
      <c r="D215" s="39">
        <v>26533.52</v>
      </c>
      <c r="E215" s="40">
        <f t="shared" si="15"/>
        <v>7.6910537055931733E-2</v>
      </c>
      <c r="F215" s="20"/>
      <c r="G215" s="41">
        <v>225000</v>
      </c>
      <c r="H215" s="39">
        <v>1357.07</v>
      </c>
      <c r="I215" s="39">
        <v>1005.69</v>
      </c>
      <c r="J215" s="42">
        <v>0</v>
      </c>
      <c r="K215" s="39">
        <f t="shared" si="16"/>
        <v>2362.7600000000002</v>
      </c>
      <c r="L215" s="20"/>
      <c r="M215" s="41">
        <v>706</v>
      </c>
      <c r="N215" s="39">
        <v>4937.22</v>
      </c>
    </row>
    <row r="216" spans="1:14" x14ac:dyDescent="0.2">
      <c r="A216" s="10"/>
      <c r="B216" s="10"/>
      <c r="C216" s="17">
        <f>SUM(C204:C215)</f>
        <v>4499545</v>
      </c>
      <c r="D216" s="18">
        <f>SUM(D204:D215)</f>
        <v>351657.68000000005</v>
      </c>
      <c r="E216" s="19">
        <f>AVERAGE(E204:E215)</f>
        <v>7.8152073374718883E-2</v>
      </c>
      <c r="F216" s="20"/>
      <c r="G216" s="21">
        <f>SUM(G204:G215)</f>
        <v>4300000</v>
      </c>
      <c r="H216" s="22">
        <f>SUM(H204:H215)</f>
        <v>20242.920000000002</v>
      </c>
      <c r="I216" s="22">
        <f>SUM(I204:I215)</f>
        <v>24413.089999999997</v>
      </c>
      <c r="J216" s="23">
        <f>SUM(J204:J215)</f>
        <v>1583.4</v>
      </c>
      <c r="K216" s="18">
        <f>SUM(K204:K215)</f>
        <v>43072.61</v>
      </c>
      <c r="L216" s="24"/>
      <c r="M216" s="25">
        <f>SUM(M204:M215)</f>
        <v>3233</v>
      </c>
      <c r="N216" s="18">
        <f>SUM(N204:N215)</f>
        <v>23150.22</v>
      </c>
    </row>
    <row r="217" spans="1:14" x14ac:dyDescent="0.2">
      <c r="A217" s="10"/>
      <c r="B217" s="10"/>
      <c r="C217" s="17"/>
      <c r="D217" s="18"/>
      <c r="E217" s="19"/>
      <c r="F217" s="20"/>
      <c r="G217" s="21"/>
      <c r="H217" s="22"/>
      <c r="I217" s="22"/>
      <c r="J217" s="23"/>
      <c r="K217" s="18"/>
      <c r="L217" s="24"/>
      <c r="M217" s="25"/>
      <c r="N217" s="18"/>
    </row>
    <row r="218" spans="1:14" x14ac:dyDescent="0.2">
      <c r="A218" s="10"/>
      <c r="B218" s="10"/>
      <c r="C218" s="17"/>
      <c r="D218" s="18"/>
      <c r="E218" s="19"/>
      <c r="F218" s="20"/>
      <c r="G218" s="21"/>
      <c r="H218" s="22"/>
      <c r="I218" s="22"/>
      <c r="J218" s="23"/>
      <c r="K218" s="18"/>
      <c r="L218" s="24"/>
      <c r="M218" s="25"/>
      <c r="N218" s="18"/>
    </row>
    <row r="219" spans="1:14" x14ac:dyDescent="0.2">
      <c r="A219" s="10"/>
      <c r="B219" s="10"/>
      <c r="C219" s="26"/>
      <c r="D219" s="27"/>
      <c r="E219" s="28"/>
      <c r="F219" s="28"/>
      <c r="G219" s="26"/>
      <c r="H219" s="27"/>
      <c r="I219" s="27"/>
      <c r="J219" s="29"/>
      <c r="K219" s="27"/>
      <c r="L219" s="10"/>
      <c r="M219" s="26"/>
      <c r="N219" s="27"/>
    </row>
    <row r="220" spans="1:14" x14ac:dyDescent="0.2">
      <c r="A220" s="11">
        <v>2017</v>
      </c>
      <c r="B220" s="10"/>
      <c r="C220" s="10"/>
      <c r="D220" s="10"/>
      <c r="E220" s="10"/>
      <c r="F220" s="10"/>
      <c r="G220" s="10"/>
      <c r="H220" s="12" t="s">
        <v>0</v>
      </c>
      <c r="I220" s="12" t="s">
        <v>1</v>
      </c>
      <c r="J220" s="10"/>
      <c r="K220" s="10"/>
      <c r="L220" s="10"/>
      <c r="M220" s="12" t="s">
        <v>2</v>
      </c>
      <c r="N220" s="10"/>
    </row>
    <row r="221" spans="1:14" x14ac:dyDescent="0.2">
      <c r="A221" s="13" t="s">
        <v>3</v>
      </c>
      <c r="B221" s="14" t="s">
        <v>4</v>
      </c>
      <c r="C221" s="14" t="s">
        <v>24</v>
      </c>
      <c r="D221" s="14" t="s">
        <v>6</v>
      </c>
      <c r="E221" s="15" t="s">
        <v>7</v>
      </c>
      <c r="F221" s="10"/>
      <c r="G221" s="16" t="s">
        <v>8</v>
      </c>
      <c r="H221" s="14" t="s">
        <v>6</v>
      </c>
      <c r="I221" s="14" t="s">
        <v>6</v>
      </c>
      <c r="J221" s="14" t="s">
        <v>9</v>
      </c>
      <c r="K221" s="14" t="s">
        <v>10</v>
      </c>
      <c r="L221" s="10"/>
      <c r="M221" s="14" t="s">
        <v>11</v>
      </c>
      <c r="N221" s="14" t="s">
        <v>6</v>
      </c>
    </row>
    <row r="222" spans="1:14" outlineLevel="1" x14ac:dyDescent="0.2">
      <c r="A222" s="94" t="s">
        <v>12</v>
      </c>
      <c r="B222" s="3">
        <v>2017</v>
      </c>
      <c r="C222" s="4">
        <f>350764.2</f>
        <v>350764.2</v>
      </c>
      <c r="D222" s="6">
        <f>23647.93</f>
        <v>23647.93</v>
      </c>
      <c r="E222" s="7">
        <f t="shared" ref="E222:E233" si="17">+D222/C222</f>
        <v>6.7418311218761781E-2</v>
      </c>
      <c r="F222" s="9"/>
      <c r="G222" s="5">
        <v>180000</v>
      </c>
      <c r="H222" s="6">
        <f>71.94+747</f>
        <v>818.94</v>
      </c>
      <c r="I222" s="6">
        <f>34.07+1058.4+44.27</f>
        <v>1136.74</v>
      </c>
      <c r="J222" s="8">
        <v>664.44</v>
      </c>
      <c r="K222" s="6">
        <f>H222+I222-J222</f>
        <v>1291.24</v>
      </c>
      <c r="L222" s="9"/>
      <c r="M222" s="5">
        <v>712</v>
      </c>
      <c r="N222" s="6">
        <v>5275.69</v>
      </c>
    </row>
    <row r="223" spans="1:14" outlineLevel="1" x14ac:dyDescent="0.2">
      <c r="A223" s="20" t="s">
        <v>13</v>
      </c>
      <c r="B223" s="44">
        <v>2017</v>
      </c>
      <c r="C223" s="26">
        <f>6541+317657.52</f>
        <v>324198.52</v>
      </c>
      <c r="D223" s="36">
        <f>554.89+22576.46</f>
        <v>23131.35</v>
      </c>
      <c r="E223" s="45">
        <f t="shared" si="17"/>
        <v>7.1349338670639209E-2</v>
      </c>
      <c r="F223" s="10"/>
      <c r="G223" s="35">
        <v>170000</v>
      </c>
      <c r="H223" s="36">
        <f>71.94+705.5</f>
        <v>777.44</v>
      </c>
      <c r="I223" s="36">
        <f>34.07+999.6</f>
        <v>1033.67</v>
      </c>
      <c r="J223" s="23">
        <v>0</v>
      </c>
      <c r="K223" s="36">
        <f t="shared" ref="K223:K233" si="18">H223+I223-J223</f>
        <v>1811.1100000000001</v>
      </c>
      <c r="L223" s="10"/>
      <c r="M223" s="35">
        <v>510</v>
      </c>
      <c r="N223" s="36">
        <v>3867.34</v>
      </c>
    </row>
    <row r="224" spans="1:14" outlineLevel="1" x14ac:dyDescent="0.2">
      <c r="A224" s="94" t="s">
        <v>14</v>
      </c>
      <c r="B224" s="3">
        <v>2017</v>
      </c>
      <c r="C224" s="4">
        <f>4804+344350.44</f>
        <v>349154.44</v>
      </c>
      <c r="D224" s="6">
        <f>426.1+23918.86</f>
        <v>24344.959999999999</v>
      </c>
      <c r="E224" s="7">
        <f t="shared" si="17"/>
        <v>6.9725477356094911E-2</v>
      </c>
      <c r="F224" s="9"/>
      <c r="G224" s="5">
        <v>175000</v>
      </c>
      <c r="H224" s="6">
        <f>71.94+726.25</f>
        <v>798.19</v>
      </c>
      <c r="I224" s="6">
        <f>34.07+1029+44.73</f>
        <v>1107.8</v>
      </c>
      <c r="J224" s="8">
        <v>393.96</v>
      </c>
      <c r="K224" s="6">
        <f t="shared" si="18"/>
        <v>1512.03</v>
      </c>
      <c r="L224" s="9"/>
      <c r="M224" s="5">
        <v>155</v>
      </c>
      <c r="N224" s="6">
        <f>1291.62+97.78</f>
        <v>1389.3999999999999</v>
      </c>
    </row>
    <row r="225" spans="1:14" outlineLevel="1" x14ac:dyDescent="0.2">
      <c r="A225" s="20" t="s">
        <v>15</v>
      </c>
      <c r="B225" s="44">
        <v>2017</v>
      </c>
      <c r="C225" s="26">
        <f>6045+315275.04+722</f>
        <v>322042.03999999998</v>
      </c>
      <c r="D225" s="36">
        <f>516.68+22965.09+66.98</f>
        <v>23548.75</v>
      </c>
      <c r="E225" s="45">
        <f t="shared" si="17"/>
        <v>7.3123217080602279E-2</v>
      </c>
      <c r="F225" s="10"/>
      <c r="G225" s="35">
        <v>377000</v>
      </c>
      <c r="H225" s="36">
        <f>73.55+1601.82</f>
        <v>1675.37</v>
      </c>
      <c r="I225" s="36">
        <f>34.83+2266.46</f>
        <v>2301.29</v>
      </c>
      <c r="J225" s="23">
        <v>0</v>
      </c>
      <c r="K225" s="36">
        <f t="shared" si="18"/>
        <v>3976.66</v>
      </c>
      <c r="L225" s="10"/>
      <c r="M225" s="35">
        <v>82</v>
      </c>
      <c r="N225" s="36">
        <v>878.58</v>
      </c>
    </row>
    <row r="226" spans="1:14" outlineLevel="1" x14ac:dyDescent="0.2">
      <c r="A226" s="94" t="s">
        <v>16</v>
      </c>
      <c r="B226" s="3">
        <v>2017</v>
      </c>
      <c r="C226" s="4">
        <f>7653+382350.6+3490</f>
        <v>393493.6</v>
      </c>
      <c r="D226" s="6">
        <f>603.43+26316.32+300.34</f>
        <v>27220.09</v>
      </c>
      <c r="E226" s="7">
        <f t="shared" si="17"/>
        <v>6.9175432586451216E-2</v>
      </c>
      <c r="F226" s="9"/>
      <c r="G226" s="5">
        <v>232000</v>
      </c>
      <c r="H226" s="6">
        <f>74.38+997.6</f>
        <v>1071.98</v>
      </c>
      <c r="I226" s="6">
        <f>35.23+1410.56</f>
        <v>1445.79</v>
      </c>
      <c r="J226" s="8">
        <v>0</v>
      </c>
      <c r="K226" s="6">
        <f t="shared" si="18"/>
        <v>2517.77</v>
      </c>
      <c r="L226" s="9"/>
      <c r="M226" s="5">
        <v>28</v>
      </c>
      <c r="N226" s="6">
        <v>339.72</v>
      </c>
    </row>
    <row r="227" spans="1:14" outlineLevel="1" x14ac:dyDescent="0.2">
      <c r="A227" s="20" t="s">
        <v>17</v>
      </c>
      <c r="B227" s="44">
        <v>2017</v>
      </c>
      <c r="C227" s="26">
        <f>10154+448956.36+3596</f>
        <v>462706.36</v>
      </c>
      <c r="D227" s="36">
        <f>731.55+29372.4+306.39</f>
        <v>30410.34</v>
      </c>
      <c r="E227" s="45">
        <f t="shared" si="17"/>
        <v>6.5722762055831691E-2</v>
      </c>
      <c r="F227" s="10"/>
      <c r="G227" s="35">
        <v>311000</v>
      </c>
      <c r="H227" s="36">
        <f>74.38+1337.3</f>
        <v>1411.6799999999998</v>
      </c>
      <c r="I227" s="36">
        <f>1890.88+35.23</f>
        <v>1926.1100000000001</v>
      </c>
      <c r="J227" s="23">
        <v>0</v>
      </c>
      <c r="K227" s="36">
        <f t="shared" si="18"/>
        <v>3337.79</v>
      </c>
      <c r="L227" s="10"/>
      <c r="M227" s="35">
        <v>29</v>
      </c>
      <c r="N227" s="36">
        <v>380.69</v>
      </c>
    </row>
    <row r="228" spans="1:14" outlineLevel="1" x14ac:dyDescent="0.2">
      <c r="A228" s="94" t="s">
        <v>18</v>
      </c>
      <c r="B228" s="3">
        <v>2017</v>
      </c>
      <c r="C228" s="4">
        <f>416292.84+12151+4021</f>
        <v>432464.84</v>
      </c>
      <c r="D228" s="6">
        <f>28174.03+828.07+339.15</f>
        <v>29341.25</v>
      </c>
      <c r="E228" s="7">
        <f t="shared" si="17"/>
        <v>6.7846556034474384E-2</v>
      </c>
      <c r="F228" s="9"/>
      <c r="G228" s="5">
        <v>435000</v>
      </c>
      <c r="H228" s="6">
        <f>74.38+1870.5</f>
        <v>1944.88</v>
      </c>
      <c r="I228" s="6">
        <f>44.73+44.73+35.23+2644.8</f>
        <v>2769.4900000000002</v>
      </c>
      <c r="J228" s="8">
        <f>997.12+1428.8</f>
        <v>2425.92</v>
      </c>
      <c r="K228" s="6">
        <f t="shared" si="18"/>
        <v>2288.4500000000007</v>
      </c>
      <c r="L228" s="9"/>
      <c r="M228" s="5">
        <v>45</v>
      </c>
      <c r="N228" s="6">
        <v>510.98</v>
      </c>
    </row>
    <row r="229" spans="1:14" outlineLevel="1" x14ac:dyDescent="0.2">
      <c r="A229" s="20" t="s">
        <v>19</v>
      </c>
      <c r="B229" s="44">
        <v>2017</v>
      </c>
      <c r="C229" s="26">
        <f>445436.28+10373+2956</f>
        <v>458765.28</v>
      </c>
      <c r="D229" s="36">
        <f>29374.22+738.35+250.49</f>
        <v>30363.06</v>
      </c>
      <c r="E229" s="45">
        <f t="shared" si="17"/>
        <v>6.6184302351738555E-2</v>
      </c>
      <c r="F229" s="10"/>
      <c r="G229" s="35">
        <v>480000</v>
      </c>
      <c r="H229" s="36">
        <f>74.38+2064</f>
        <v>2138.38</v>
      </c>
      <c r="I229" s="36">
        <f>35.23+2918.4</f>
        <v>2953.63</v>
      </c>
      <c r="J229" s="23">
        <v>0</v>
      </c>
      <c r="K229" s="36">
        <f t="shared" si="18"/>
        <v>5092.01</v>
      </c>
      <c r="L229" s="10"/>
      <c r="M229" s="35">
        <v>56</v>
      </c>
      <c r="N229" s="36">
        <v>567.65</v>
      </c>
    </row>
    <row r="230" spans="1:14" outlineLevel="1" x14ac:dyDescent="0.2">
      <c r="A230" s="94" t="s">
        <v>20</v>
      </c>
      <c r="B230" s="3">
        <v>2017</v>
      </c>
      <c r="C230" s="4">
        <f>7578+358984.44+1946</f>
        <v>368508.44</v>
      </c>
      <c r="D230" s="6">
        <f>600.79+25520.35+166.61</f>
        <v>26287.75</v>
      </c>
      <c r="E230" s="7">
        <f t="shared" si="17"/>
        <v>7.1335543902332335E-2</v>
      </c>
      <c r="F230" s="9"/>
      <c r="G230" s="5">
        <v>1250000</v>
      </c>
      <c r="H230" s="6">
        <f>74.38+5375</f>
        <v>5449.38</v>
      </c>
      <c r="I230" s="6">
        <f>35.23+7600</f>
        <v>7635.23</v>
      </c>
      <c r="J230" s="8">
        <v>0</v>
      </c>
      <c r="K230" s="6">
        <f t="shared" si="18"/>
        <v>13084.61</v>
      </c>
      <c r="L230" s="9"/>
      <c r="M230" s="5">
        <v>39</v>
      </c>
      <c r="N230" s="6">
        <v>469.08</v>
      </c>
    </row>
    <row r="231" spans="1:14" outlineLevel="1" x14ac:dyDescent="0.2">
      <c r="A231" s="20" t="s">
        <v>21</v>
      </c>
      <c r="B231" s="44">
        <v>2017</v>
      </c>
      <c r="C231" s="26">
        <f>5989+375960.24+1170</f>
        <v>383119.24</v>
      </c>
      <c r="D231" s="36">
        <f>540.49+26425.08+104.08</f>
        <v>27069.650000000005</v>
      </c>
      <c r="E231" s="45">
        <f t="shared" si="17"/>
        <v>7.0655939910509336E-2</v>
      </c>
      <c r="F231" s="10"/>
      <c r="G231" s="35">
        <v>360000</v>
      </c>
      <c r="H231" s="36">
        <f>74.38+1548</f>
        <v>1622.38</v>
      </c>
      <c r="I231" s="36">
        <f>44.73+35.23+2188.8</f>
        <v>2268.7600000000002</v>
      </c>
      <c r="J231" s="23">
        <v>1538.24</v>
      </c>
      <c r="K231" s="36">
        <f t="shared" si="18"/>
        <v>2352.9000000000005</v>
      </c>
      <c r="L231" s="10"/>
      <c r="M231" s="35">
        <v>162</v>
      </c>
      <c r="N231" s="36">
        <v>1338.43</v>
      </c>
    </row>
    <row r="232" spans="1:14" outlineLevel="1" x14ac:dyDescent="0.2">
      <c r="A232" s="94" t="s">
        <v>22</v>
      </c>
      <c r="B232" s="3">
        <v>2017</v>
      </c>
      <c r="C232" s="4">
        <f>6874+322602.48</f>
        <v>329476.47999999998</v>
      </c>
      <c r="D232" s="6">
        <f>550.2+23647.56</f>
        <v>24197.760000000002</v>
      </c>
      <c r="E232" s="7">
        <f t="shared" si="17"/>
        <v>7.3443057301085662E-2</v>
      </c>
      <c r="F232" s="9"/>
      <c r="G232" s="5">
        <v>280000</v>
      </c>
      <c r="H232" s="6">
        <f>74.38+1204</f>
        <v>1278.3800000000001</v>
      </c>
      <c r="I232" s="6">
        <f>44.73+35.23+1702.4</f>
        <v>1782.3600000000001</v>
      </c>
      <c r="J232" s="8">
        <v>1161.28</v>
      </c>
      <c r="K232" s="6">
        <f t="shared" si="18"/>
        <v>1899.4600000000003</v>
      </c>
      <c r="L232" s="9"/>
      <c r="M232" s="5">
        <v>215</v>
      </c>
      <c r="N232" s="6">
        <v>1712.34</v>
      </c>
    </row>
    <row r="233" spans="1:14" outlineLevel="1" x14ac:dyDescent="0.2">
      <c r="A233" s="95" t="s">
        <v>23</v>
      </c>
      <c r="B233" s="37">
        <v>2017</v>
      </c>
      <c r="C233" s="38">
        <f>13629+341730</f>
        <v>355359</v>
      </c>
      <c r="D233" s="39">
        <f>943.89+24612.79</f>
        <v>25556.68</v>
      </c>
      <c r="E233" s="40">
        <f t="shared" si="17"/>
        <v>7.1917919624942664E-2</v>
      </c>
      <c r="F233" s="20"/>
      <c r="G233" s="41">
        <v>300000</v>
      </c>
      <c r="H233" s="39">
        <f>74.38+1290</f>
        <v>1364.38</v>
      </c>
      <c r="I233" s="39">
        <f>35.23+1824</f>
        <v>1859.23</v>
      </c>
      <c r="J233" s="42">
        <v>386.95</v>
      </c>
      <c r="K233" s="39">
        <f t="shared" si="18"/>
        <v>2836.6600000000003</v>
      </c>
      <c r="L233" s="20"/>
      <c r="M233" s="41">
        <v>1115</v>
      </c>
      <c r="N233" s="39">
        <v>8063.62</v>
      </c>
    </row>
    <row r="234" spans="1:14" x14ac:dyDescent="0.2">
      <c r="A234" s="10"/>
      <c r="B234" s="10"/>
      <c r="C234" s="17">
        <f>SUM(C222:C233)</f>
        <v>4530052.4399999995</v>
      </c>
      <c r="D234" s="18">
        <f>SUM(D222:D233)</f>
        <v>315119.57</v>
      </c>
      <c r="E234" s="19">
        <f>AVERAGE(E222:E233)</f>
        <v>6.9824821507788667E-2</v>
      </c>
      <c r="F234" s="20"/>
      <c r="G234" s="21">
        <f>SUM(G222:G233)</f>
        <v>4550000</v>
      </c>
      <c r="H234" s="22">
        <f>SUM(H222:H233)</f>
        <v>20351.380000000005</v>
      </c>
      <c r="I234" s="22">
        <f>SUM(I222:I233)</f>
        <v>28220.100000000002</v>
      </c>
      <c r="J234" s="23">
        <f>SUM(J222:J233)</f>
        <v>6570.79</v>
      </c>
      <c r="K234" s="18">
        <f>SUM(K222:K233)</f>
        <v>42000.69000000001</v>
      </c>
      <c r="L234" s="24"/>
      <c r="M234" s="25">
        <f>SUM(M222:M233)</f>
        <v>3148</v>
      </c>
      <c r="N234" s="18">
        <f>SUM(N222:N233)</f>
        <v>24793.519999999997</v>
      </c>
    </row>
    <row r="235" spans="1:14" x14ac:dyDescent="0.2">
      <c r="A235" s="10"/>
      <c r="B235" s="10"/>
      <c r="C235" s="17"/>
      <c r="D235" s="18"/>
      <c r="E235" s="19"/>
      <c r="F235" s="20"/>
      <c r="G235" s="21"/>
      <c r="H235" s="22"/>
      <c r="I235" s="22"/>
      <c r="J235" s="23"/>
      <c r="K235" s="18"/>
      <c r="L235" s="24"/>
      <c r="M235" s="25"/>
      <c r="N235" s="18"/>
    </row>
    <row r="236" spans="1:14" x14ac:dyDescent="0.2">
      <c r="A236" s="10"/>
      <c r="B236" s="10"/>
      <c r="C236" s="17"/>
      <c r="D236" s="18"/>
      <c r="E236" s="19"/>
      <c r="F236" s="20"/>
      <c r="G236" s="21"/>
      <c r="H236" s="22"/>
      <c r="I236" s="22"/>
      <c r="J236" s="23"/>
      <c r="K236" s="18"/>
      <c r="L236" s="24"/>
      <c r="M236" s="25"/>
      <c r="N236" s="18"/>
    </row>
    <row r="237" spans="1:14" x14ac:dyDescent="0.2">
      <c r="A237" s="10"/>
      <c r="B237" s="10"/>
      <c r="C237" s="26"/>
      <c r="D237" s="27"/>
      <c r="E237" s="28"/>
      <c r="F237" s="28"/>
      <c r="G237" s="26"/>
      <c r="H237" s="27"/>
      <c r="I237" s="27"/>
      <c r="J237" s="29"/>
      <c r="K237" s="27"/>
      <c r="L237" s="10"/>
      <c r="M237" s="26"/>
      <c r="N237" s="27"/>
    </row>
    <row r="238" spans="1:14" x14ac:dyDescent="0.2">
      <c r="A238" s="11">
        <v>2018</v>
      </c>
      <c r="B238" s="10"/>
      <c r="C238" s="10"/>
      <c r="D238" s="10"/>
      <c r="E238" s="10"/>
      <c r="F238" s="10"/>
      <c r="G238" s="10"/>
      <c r="H238" s="12" t="s">
        <v>0</v>
      </c>
      <c r="I238" s="12" t="s">
        <v>1</v>
      </c>
      <c r="J238" s="10"/>
      <c r="K238" s="10"/>
      <c r="L238" s="10"/>
      <c r="M238" s="12" t="s">
        <v>2</v>
      </c>
      <c r="N238" s="10"/>
    </row>
    <row r="239" spans="1:14" x14ac:dyDescent="0.2">
      <c r="A239" s="13" t="s">
        <v>3</v>
      </c>
      <c r="B239" s="14" t="s">
        <v>4</v>
      </c>
      <c r="C239" s="14" t="s">
        <v>24</v>
      </c>
      <c r="D239" s="14" t="s">
        <v>6</v>
      </c>
      <c r="E239" s="15" t="s">
        <v>7</v>
      </c>
      <c r="F239" s="10"/>
      <c r="G239" s="16" t="s">
        <v>8</v>
      </c>
      <c r="H239" s="14" t="s">
        <v>6</v>
      </c>
      <c r="I239" s="14" t="s">
        <v>6</v>
      </c>
      <c r="J239" s="14" t="s">
        <v>9</v>
      </c>
      <c r="K239" s="14" t="s">
        <v>10</v>
      </c>
      <c r="L239" s="10"/>
      <c r="M239" s="14" t="s">
        <v>11</v>
      </c>
      <c r="N239" s="14" t="s">
        <v>6</v>
      </c>
    </row>
    <row r="240" spans="1:14" outlineLevel="1" x14ac:dyDescent="0.2">
      <c r="A240" s="94" t="s">
        <v>12</v>
      </c>
      <c r="B240" s="3">
        <v>2018</v>
      </c>
      <c r="C240" s="4">
        <f>326523.24+16825</f>
        <v>343348.24</v>
      </c>
      <c r="D240" s="6">
        <f>24650.62+1144.72</f>
        <v>25795.34</v>
      </c>
      <c r="E240" s="7">
        <f t="shared" ref="E240:E251" si="19">+D240/C240</f>
        <v>7.5128796349735183E-2</v>
      </c>
      <c r="F240" s="9"/>
      <c r="G240" s="5">
        <v>215000</v>
      </c>
      <c r="H240" s="6">
        <f>74.38+924.5</f>
        <v>998.88</v>
      </c>
      <c r="I240" s="6">
        <f>44.73+35.23+1307.2+431.68</f>
        <v>1818.8400000000001</v>
      </c>
      <c r="J240" s="8">
        <v>431.68</v>
      </c>
      <c r="K240" s="6">
        <f>H240+I240-J240</f>
        <v>2386.0400000000004</v>
      </c>
      <c r="L240" s="9"/>
      <c r="M240" s="5">
        <v>809</v>
      </c>
      <c r="N240" s="6">
        <v>5842.3</v>
      </c>
    </row>
    <row r="241" spans="1:14" outlineLevel="1" x14ac:dyDescent="0.2">
      <c r="A241" s="20" t="s">
        <v>13</v>
      </c>
      <c r="B241" s="44">
        <v>2018</v>
      </c>
      <c r="C241" s="26">
        <f>44262.36+325357.2+10024</f>
        <v>379643.56</v>
      </c>
      <c r="D241" s="36">
        <f>3371.06+24800.46+786.27</f>
        <v>28957.79</v>
      </c>
      <c r="E241" s="45">
        <f t="shared" si="19"/>
        <v>7.6276257655997118E-2</v>
      </c>
      <c r="F241" s="10"/>
      <c r="G241" s="35">
        <v>215000</v>
      </c>
      <c r="H241" s="36">
        <f>74.38+924.5</f>
        <v>998.88</v>
      </c>
      <c r="I241" s="36">
        <f>45.61+35.23+1307.2+431.68</f>
        <v>1819.72</v>
      </c>
      <c r="J241" s="23">
        <v>431.68</v>
      </c>
      <c r="K241" s="36">
        <f t="shared" ref="K241:K251" si="20">H241+I241-J241</f>
        <v>2386.92</v>
      </c>
      <c r="L241" s="10"/>
      <c r="M241" s="35">
        <v>547</v>
      </c>
      <c r="N241" s="36">
        <v>4013.02</v>
      </c>
    </row>
    <row r="242" spans="1:14" outlineLevel="1" x14ac:dyDescent="0.2">
      <c r="A242" s="94" t="s">
        <v>14</v>
      </c>
      <c r="B242" s="3">
        <v>2018</v>
      </c>
      <c r="C242" s="4">
        <f>328331.88+5813</f>
        <v>334144.88</v>
      </c>
      <c r="D242" s="6">
        <f>24746.42+504.91</f>
        <v>25251.329999999998</v>
      </c>
      <c r="E242" s="7">
        <f t="shared" si="19"/>
        <v>7.5570004244865277E-2</v>
      </c>
      <c r="F242" s="9"/>
      <c r="G242" s="5">
        <v>270000</v>
      </c>
      <c r="H242" s="6">
        <f>74.38+1161</f>
        <v>1235.3800000000001</v>
      </c>
      <c r="I242" s="6">
        <f>35.23+1641.6</f>
        <v>1676.83</v>
      </c>
      <c r="J242" s="8">
        <v>0</v>
      </c>
      <c r="K242" s="6">
        <f t="shared" si="20"/>
        <v>2912.21</v>
      </c>
      <c r="L242" s="9"/>
      <c r="M242" s="5">
        <v>287</v>
      </c>
      <c r="N242" s="6">
        <v>2198.6999999999998</v>
      </c>
    </row>
    <row r="243" spans="1:14" outlineLevel="1" x14ac:dyDescent="0.2">
      <c r="A243" s="20" t="s">
        <v>15</v>
      </c>
      <c r="B243" s="44">
        <v>2018</v>
      </c>
      <c r="C243" s="26">
        <f>341469.72+3810+1273+722</f>
        <v>347274.72</v>
      </c>
      <c r="D243" s="36">
        <f>25241.61+403.79+127.94+66.98</f>
        <v>25840.32</v>
      </c>
      <c r="E243" s="45">
        <f t="shared" si="19"/>
        <v>7.440887145485281E-2</v>
      </c>
      <c r="F243" s="10"/>
      <c r="G243" s="35">
        <v>285000</v>
      </c>
      <c r="H243" s="36">
        <f>75.49+1243.67</f>
        <v>1319.16</v>
      </c>
      <c r="I243" s="36">
        <f>45.61+35.76+1760.05+395.2</f>
        <v>2236.62</v>
      </c>
      <c r="J243" s="23">
        <v>395</v>
      </c>
      <c r="K243" s="36">
        <f t="shared" si="20"/>
        <v>3160.7799999999997</v>
      </c>
      <c r="L243" s="10"/>
      <c r="M243" s="35">
        <v>250</v>
      </c>
      <c r="N243" s="36">
        <v>1939.29</v>
      </c>
    </row>
    <row r="244" spans="1:14" outlineLevel="1" x14ac:dyDescent="0.2">
      <c r="A244" s="94" t="s">
        <v>16</v>
      </c>
      <c r="B244" s="3">
        <v>2018</v>
      </c>
      <c r="C244" s="4">
        <f>398495.16+6513+3970+3490</f>
        <v>412468.16</v>
      </c>
      <c r="D244" s="6">
        <f>29373.65+579.8+340.14+300.34</f>
        <v>30593.93</v>
      </c>
      <c r="E244" s="7">
        <f t="shared" si="19"/>
        <v>7.4172828273581168E-2</v>
      </c>
      <c r="F244" s="9"/>
      <c r="G244" s="5">
        <v>376000</v>
      </c>
      <c r="H244" s="6">
        <f>1661.92+76.47</f>
        <v>1738.39</v>
      </c>
      <c r="I244" s="6">
        <f>2353.76+36.22+45.61+656.64</f>
        <v>3092.23</v>
      </c>
      <c r="J244" s="8">
        <v>656.64</v>
      </c>
      <c r="K244" s="6">
        <f t="shared" si="20"/>
        <v>4173.9799999999996</v>
      </c>
      <c r="L244" s="9"/>
      <c r="M244" s="5">
        <v>42</v>
      </c>
      <c r="N244" s="6">
        <v>486.81</v>
      </c>
    </row>
    <row r="245" spans="1:14" outlineLevel="1" x14ac:dyDescent="0.2">
      <c r="A245" s="20" t="s">
        <v>17</v>
      </c>
      <c r="B245" s="44">
        <v>2018</v>
      </c>
      <c r="C245" s="26">
        <f>397100.52+1395+4614+3596</f>
        <v>406705.52</v>
      </c>
      <c r="D245" s="36">
        <f>28017.21+313.44+390.02+306.39</f>
        <v>29027.059999999998</v>
      </c>
      <c r="E245" s="45">
        <f t="shared" si="19"/>
        <v>7.1371197519030469E-2</v>
      </c>
      <c r="F245" s="10"/>
      <c r="G245" s="35">
        <v>478000</v>
      </c>
      <c r="H245" s="36">
        <f>2112.76+76.47</f>
        <v>2189.23</v>
      </c>
      <c r="I245" s="36">
        <f>2992.28+36.22+45.61+820.8</f>
        <v>3894.91</v>
      </c>
      <c r="J245" s="23">
        <v>820.8</v>
      </c>
      <c r="K245" s="36">
        <f t="shared" si="20"/>
        <v>5263.3399999999992</v>
      </c>
      <c r="L245" s="10"/>
      <c r="M245" s="35">
        <v>17</v>
      </c>
      <c r="N245" s="36">
        <v>328.43</v>
      </c>
    </row>
    <row r="246" spans="1:14" outlineLevel="1" x14ac:dyDescent="0.2">
      <c r="A246" s="94" t="s">
        <v>18</v>
      </c>
      <c r="B246" s="3">
        <v>2018</v>
      </c>
      <c r="C246" s="4">
        <f>389913.48+5411+4021</f>
        <v>399345.48</v>
      </c>
      <c r="D246" s="6">
        <f>27669.35+452.62+339.15</f>
        <v>28461.119999999999</v>
      </c>
      <c r="E246" s="7">
        <f t="shared" si="19"/>
        <v>7.1269418148917074E-2</v>
      </c>
      <c r="F246" s="9"/>
      <c r="G246" s="5">
        <v>441000</v>
      </c>
      <c r="H246" s="6">
        <f>76.47+1949.22</f>
        <v>2025.69</v>
      </c>
      <c r="I246" s="6">
        <f>36.22+2760.66+45.61+1605.12</f>
        <v>4447.6099999999997</v>
      </c>
      <c r="J246" s="8">
        <v>1605.12</v>
      </c>
      <c r="K246" s="6">
        <f t="shared" si="20"/>
        <v>4868.1799999999994</v>
      </c>
      <c r="L246" s="9"/>
      <c r="M246" s="5">
        <v>14</v>
      </c>
      <c r="N246" s="6">
        <v>305.61</v>
      </c>
    </row>
    <row r="247" spans="1:14" outlineLevel="1" x14ac:dyDescent="0.2">
      <c r="A247" s="20" t="s">
        <v>19</v>
      </c>
      <c r="B247" s="44">
        <v>2018</v>
      </c>
      <c r="C247" s="26">
        <f>386462.52+2956+5463</f>
        <v>394881.52</v>
      </c>
      <c r="D247" s="36">
        <f>26994.14+250.49+453.59</f>
        <v>27698.22</v>
      </c>
      <c r="E247" s="45">
        <f t="shared" si="19"/>
        <v>7.014311533241667E-2</v>
      </c>
      <c r="F247" s="10"/>
      <c r="G247" s="35">
        <v>470000</v>
      </c>
      <c r="H247" s="36">
        <f>76.47+2077.4</f>
        <v>2153.87</v>
      </c>
      <c r="I247" s="36">
        <f>45.61+36.22+2942.2+1659.84</f>
        <v>4683.87</v>
      </c>
      <c r="J247" s="23">
        <v>1659.84</v>
      </c>
      <c r="K247" s="36">
        <f t="shared" si="20"/>
        <v>5177.8999999999996</v>
      </c>
      <c r="L247" s="10"/>
      <c r="M247" s="35">
        <v>19</v>
      </c>
      <c r="N247" s="36">
        <v>332.57</v>
      </c>
    </row>
    <row r="248" spans="1:14" outlineLevel="1" x14ac:dyDescent="0.2">
      <c r="A248" s="94" t="s">
        <v>20</v>
      </c>
      <c r="B248" s="3">
        <v>2018</v>
      </c>
      <c r="C248" s="4">
        <f>334558.08+5525+1946</f>
        <v>342029.08</v>
      </c>
      <c r="D248" s="6">
        <f>24361.5+452.78+166.61</f>
        <v>24980.89</v>
      </c>
      <c r="E248" s="7">
        <f t="shared" si="19"/>
        <v>7.3037327703246752E-2</v>
      </c>
      <c r="F248" s="9"/>
      <c r="G248" s="5">
        <v>370000</v>
      </c>
      <c r="H248" s="6">
        <f>76.47+1635.4</f>
        <v>1711.8700000000001</v>
      </c>
      <c r="I248" s="6">
        <f>36.22+2316.2</f>
        <v>2352.4199999999996</v>
      </c>
      <c r="J248" s="8"/>
      <c r="K248" s="6">
        <f t="shared" si="20"/>
        <v>4064.29</v>
      </c>
      <c r="L248" s="9"/>
      <c r="M248" s="5">
        <v>33</v>
      </c>
      <c r="N248" s="6">
        <v>320.18</v>
      </c>
    </row>
    <row r="249" spans="1:14" outlineLevel="1" x14ac:dyDescent="0.2">
      <c r="A249" s="20" t="s">
        <v>21</v>
      </c>
      <c r="B249" s="44">
        <v>2018</v>
      </c>
      <c r="C249" s="26">
        <f>304006.68+5351+1170</f>
        <v>310527.68</v>
      </c>
      <c r="D249" s="36">
        <f>22457.71+430.42+104.08</f>
        <v>22992.21</v>
      </c>
      <c r="E249" s="45">
        <f t="shared" si="19"/>
        <v>7.40423848849803E-2</v>
      </c>
      <c r="F249" s="10"/>
      <c r="G249" s="35">
        <v>300000</v>
      </c>
      <c r="H249" s="36">
        <f>1326+76.47</f>
        <v>1402.47</v>
      </c>
      <c r="I249" s="36">
        <f>1878+36.22</f>
        <v>1914.22</v>
      </c>
      <c r="J249" s="23">
        <v>0</v>
      </c>
      <c r="K249" s="36">
        <f t="shared" si="20"/>
        <v>3316.69</v>
      </c>
      <c r="L249" s="10"/>
      <c r="M249" s="35">
        <v>276</v>
      </c>
      <c r="N249" s="36">
        <v>2083.31</v>
      </c>
    </row>
    <row r="250" spans="1:14" outlineLevel="1" x14ac:dyDescent="0.2">
      <c r="A250" s="94" t="s">
        <v>22</v>
      </c>
      <c r="B250" s="3">
        <v>2018</v>
      </c>
      <c r="C250" s="4">
        <f>314647.56+8663+355</f>
        <v>323665.56</v>
      </c>
      <c r="D250" s="6">
        <f>22555.64+603.1+38.77</f>
        <v>23197.51</v>
      </c>
      <c r="E250" s="7">
        <f t="shared" si="19"/>
        <v>7.1671233726566391E-2</v>
      </c>
      <c r="F250" s="9"/>
      <c r="G250" s="5">
        <v>360000</v>
      </c>
      <c r="H250" s="6">
        <f>76.47+1591.2</f>
        <v>1667.67</v>
      </c>
      <c r="I250" s="6">
        <f>36.22+2253.6</f>
        <v>2289.8199999999997</v>
      </c>
      <c r="J250" s="8">
        <v>0</v>
      </c>
      <c r="K250" s="6">
        <f t="shared" si="20"/>
        <v>3957.49</v>
      </c>
      <c r="L250" s="9"/>
      <c r="M250" s="5">
        <v>737</v>
      </c>
      <c r="N250" s="6">
        <v>5223.63</v>
      </c>
    </row>
    <row r="251" spans="1:14" outlineLevel="1" x14ac:dyDescent="0.2">
      <c r="A251" s="95" t="s">
        <v>23</v>
      </c>
      <c r="B251" s="37">
        <v>2018</v>
      </c>
      <c r="C251" s="38">
        <f>327081.24+12122+387</f>
        <v>339590.24</v>
      </c>
      <c r="D251" s="39">
        <f>22975.5+775.11+40.94</f>
        <v>23791.55</v>
      </c>
      <c r="E251" s="40">
        <f t="shared" si="19"/>
        <v>7.00595812176463E-2</v>
      </c>
      <c r="F251" s="20"/>
      <c r="G251" s="41">
        <v>205000</v>
      </c>
      <c r="H251" s="39">
        <f>76.47+906.1</f>
        <v>982.57</v>
      </c>
      <c r="I251" s="39">
        <f>36.22+1283.3</f>
        <v>1319.52</v>
      </c>
      <c r="J251" s="42">
        <v>0</v>
      </c>
      <c r="K251" s="39">
        <f t="shared" si="20"/>
        <v>2302.09</v>
      </c>
      <c r="L251" s="20"/>
      <c r="M251" s="41">
        <v>741</v>
      </c>
      <c r="N251" s="39">
        <v>5247.23</v>
      </c>
    </row>
    <row r="252" spans="1:14" x14ac:dyDescent="0.2">
      <c r="A252" s="10"/>
      <c r="B252" s="10"/>
      <c r="C252" s="17">
        <f>SUM(C240:C251)</f>
        <v>4333624.6400000006</v>
      </c>
      <c r="D252" s="18">
        <f>SUM(D240:D251)</f>
        <v>316587.27</v>
      </c>
      <c r="E252" s="19">
        <f>AVERAGE(E240:E251)</f>
        <v>7.309591804265296E-2</v>
      </c>
      <c r="F252" s="20"/>
      <c r="G252" s="21">
        <f>SUM(G240:G251)</f>
        <v>3985000</v>
      </c>
      <c r="H252" s="22">
        <f>SUM(H240:H251)</f>
        <v>18424.059999999998</v>
      </c>
      <c r="I252" s="22">
        <f>SUM(I240:I251)</f>
        <v>31546.609999999997</v>
      </c>
      <c r="J252" s="23">
        <f>SUM(J240:J251)</f>
        <v>6000.76</v>
      </c>
      <c r="K252" s="18">
        <f>SUM(K240:K251)</f>
        <v>43969.91</v>
      </c>
      <c r="L252" s="24"/>
      <c r="M252" s="25">
        <f>SUM(M240:M251)</f>
        <v>3772</v>
      </c>
      <c r="N252" s="18">
        <f>SUM(N240:N251)</f>
        <v>28321.08</v>
      </c>
    </row>
    <row r="253" spans="1:14" x14ac:dyDescent="0.2">
      <c r="A253" s="10"/>
      <c r="B253" s="10"/>
      <c r="C253" s="17"/>
      <c r="D253" s="18"/>
      <c r="E253" s="19"/>
      <c r="F253" s="20"/>
      <c r="G253" s="21"/>
      <c r="H253" s="22"/>
      <c r="I253" s="22"/>
      <c r="J253" s="23"/>
      <c r="K253" s="18"/>
      <c r="L253" s="24"/>
      <c r="M253" s="25"/>
      <c r="N253" s="18"/>
    </row>
    <row r="254" spans="1:14" x14ac:dyDescent="0.2">
      <c r="A254" s="10"/>
      <c r="B254" s="10"/>
      <c r="C254" s="17"/>
      <c r="D254" s="18"/>
      <c r="E254" s="19"/>
      <c r="F254" s="20"/>
      <c r="G254" s="21"/>
      <c r="H254" s="22"/>
      <c r="I254" s="22"/>
      <c r="J254" s="23"/>
      <c r="K254" s="18"/>
      <c r="L254" s="24"/>
      <c r="M254" s="25"/>
      <c r="N254" s="18"/>
    </row>
    <row r="255" spans="1:14" x14ac:dyDescent="0.2">
      <c r="A255" s="10"/>
      <c r="B255" s="10"/>
      <c r="C255" s="26"/>
      <c r="D255" s="27"/>
      <c r="E255" s="28"/>
      <c r="F255" s="28"/>
      <c r="G255" s="26"/>
      <c r="H255" s="27"/>
      <c r="I255" s="27"/>
      <c r="J255" s="29"/>
      <c r="K255" s="27"/>
      <c r="L255" s="10" t="s">
        <v>25</v>
      </c>
      <c r="M255" s="26"/>
      <c r="N255" s="27"/>
    </row>
    <row r="256" spans="1:14" x14ac:dyDescent="0.2">
      <c r="A256" s="11">
        <v>2019</v>
      </c>
      <c r="B256" s="10"/>
      <c r="C256" s="10"/>
      <c r="D256" s="10"/>
      <c r="E256" s="10"/>
      <c r="F256" s="10"/>
      <c r="G256" s="10"/>
      <c r="H256" s="12" t="s">
        <v>0</v>
      </c>
      <c r="I256" s="12" t="s">
        <v>1</v>
      </c>
      <c r="J256" s="10"/>
      <c r="K256" s="10"/>
      <c r="L256" s="10"/>
      <c r="M256" s="12" t="s">
        <v>2</v>
      </c>
      <c r="N256" s="10"/>
    </row>
    <row r="257" spans="1:14" x14ac:dyDescent="0.2">
      <c r="A257" s="13" t="s">
        <v>3</v>
      </c>
      <c r="B257" s="14" t="s">
        <v>4</v>
      </c>
      <c r="C257" s="14" t="s">
        <v>24</v>
      </c>
      <c r="D257" s="14" t="s">
        <v>6</v>
      </c>
      <c r="E257" s="15" t="s">
        <v>7</v>
      </c>
      <c r="F257" s="10"/>
      <c r="G257" s="16" t="s">
        <v>8</v>
      </c>
      <c r="H257" s="14" t="s">
        <v>6</v>
      </c>
      <c r="I257" s="14" t="s">
        <v>6</v>
      </c>
      <c r="J257" s="14" t="s">
        <v>9</v>
      </c>
      <c r="K257" s="14" t="s">
        <v>10</v>
      </c>
      <c r="L257" s="10"/>
      <c r="M257" s="14" t="s">
        <v>11</v>
      </c>
      <c r="N257" s="14" t="s">
        <v>6</v>
      </c>
    </row>
    <row r="258" spans="1:14" outlineLevel="1" x14ac:dyDescent="0.2">
      <c r="A258" s="94" t="s">
        <v>12</v>
      </c>
      <c r="B258" s="3">
        <v>2019</v>
      </c>
      <c r="C258" s="4">
        <v>334145</v>
      </c>
      <c r="D258" s="6">
        <f>24650.62+1144.72</f>
        <v>25795.34</v>
      </c>
      <c r="E258" s="7">
        <f t="shared" ref="E258:E269" si="21">+D258/C258</f>
        <v>7.7198042765865116E-2</v>
      </c>
      <c r="F258" s="9"/>
      <c r="G258" s="5">
        <v>147000</v>
      </c>
      <c r="H258" s="6">
        <f>649.74+76.47</f>
        <v>726.21</v>
      </c>
      <c r="I258" s="6">
        <f>36.22+920.22</f>
        <v>956.44</v>
      </c>
      <c r="J258" s="8">
        <v>0</v>
      </c>
      <c r="K258" s="6">
        <f t="shared" ref="K258:K269" si="22">H258+I258-J258</f>
        <v>1682.65</v>
      </c>
      <c r="L258" s="9"/>
      <c r="M258" s="5">
        <v>986</v>
      </c>
      <c r="N258" s="6">
        <v>7108.79</v>
      </c>
    </row>
    <row r="259" spans="1:14" outlineLevel="1" x14ac:dyDescent="0.2">
      <c r="A259" s="20" t="s">
        <v>13</v>
      </c>
      <c r="B259" s="44">
        <v>2019</v>
      </c>
      <c r="C259" s="26">
        <f>291142.8+10014+340</f>
        <v>301496.8</v>
      </c>
      <c r="D259" s="36">
        <f>21018.11+672.03+36.98</f>
        <v>21727.119999999999</v>
      </c>
      <c r="E259" s="45">
        <f t="shared" si="21"/>
        <v>7.2064181112370021E-2</v>
      </c>
      <c r="F259" s="10"/>
      <c r="G259" s="35">
        <v>168000</v>
      </c>
      <c r="H259" s="36">
        <f>742.56+76.47</f>
        <v>819.03</v>
      </c>
      <c r="I259" s="36">
        <f>36.22+1051.68</f>
        <v>1087.9000000000001</v>
      </c>
      <c r="J259" s="23">
        <v>0</v>
      </c>
      <c r="K259" s="36">
        <f t="shared" si="22"/>
        <v>1906.93</v>
      </c>
      <c r="L259" s="10"/>
      <c r="M259" s="35">
        <v>598</v>
      </c>
      <c r="N259" s="36">
        <v>4391.2</v>
      </c>
    </row>
    <row r="260" spans="1:14" outlineLevel="1" x14ac:dyDescent="0.2">
      <c r="A260" s="94" t="s">
        <v>14</v>
      </c>
      <c r="B260" s="3">
        <v>2019</v>
      </c>
      <c r="C260" s="4">
        <f>368+7823+298869.84</f>
        <v>307060.84000000003</v>
      </c>
      <c r="D260" s="6">
        <f>39.3+566.43+21700.58</f>
        <v>22306.31</v>
      </c>
      <c r="E260" s="7">
        <f t="shared" si="21"/>
        <v>7.2644593820560113E-2</v>
      </c>
      <c r="F260" s="9"/>
      <c r="G260" s="5">
        <v>190000</v>
      </c>
      <c r="H260" s="6">
        <f>76.47+839.8</f>
        <v>916.27</v>
      </c>
      <c r="I260" s="6">
        <f>36.22+1189.4</f>
        <v>1225.6200000000001</v>
      </c>
      <c r="J260" s="8">
        <v>0</v>
      </c>
      <c r="K260" s="6">
        <f t="shared" si="22"/>
        <v>2141.8900000000003</v>
      </c>
      <c r="L260" s="9"/>
      <c r="M260" s="5">
        <v>577</v>
      </c>
      <c r="N260" s="6">
        <v>4245.16</v>
      </c>
    </row>
    <row r="261" spans="1:14" outlineLevel="1" x14ac:dyDescent="0.2">
      <c r="A261" s="20" t="s">
        <v>15</v>
      </c>
      <c r="B261" s="44">
        <v>2019</v>
      </c>
      <c r="C261" s="26">
        <f>361+4524+321637.32</f>
        <v>326522.32</v>
      </c>
      <c r="D261" s="36">
        <f>38.76+384.4+22538.74</f>
        <v>22961.9</v>
      </c>
      <c r="E261" s="45">
        <f t="shared" si="21"/>
        <v>7.0322604592543636E-2</v>
      </c>
      <c r="F261" s="10"/>
      <c r="G261" s="35">
        <v>215000</v>
      </c>
      <c r="H261" s="36">
        <f>77.78+966.11</f>
        <v>1043.8900000000001</v>
      </c>
      <c r="I261" s="36">
        <f>46.7+36.85+1368.3</f>
        <v>1451.85</v>
      </c>
      <c r="J261" s="23">
        <v>338.04</v>
      </c>
      <c r="K261" s="36">
        <f t="shared" si="22"/>
        <v>2157.6999999999998</v>
      </c>
      <c r="L261" s="10"/>
      <c r="M261" s="35">
        <v>193</v>
      </c>
      <c r="N261" s="36">
        <v>1554.79</v>
      </c>
    </row>
    <row r="262" spans="1:14" outlineLevel="1" x14ac:dyDescent="0.2">
      <c r="A262" s="94" t="s">
        <v>16</v>
      </c>
      <c r="B262" s="3">
        <v>2019</v>
      </c>
      <c r="C262" s="4">
        <f>398495.16+6513+3970+3490</f>
        <v>412468.16</v>
      </c>
      <c r="D262" s="6">
        <f>29373.65+579.8+340.14+300.34</f>
        <v>30593.93</v>
      </c>
      <c r="E262" s="7">
        <f t="shared" si="21"/>
        <v>7.4172828273581168E-2</v>
      </c>
      <c r="F262" s="9"/>
      <c r="G262" s="5">
        <v>215000</v>
      </c>
      <c r="H262" s="6">
        <f>976.1+78.61</f>
        <v>1054.71</v>
      </c>
      <c r="I262" s="6">
        <f>1382.45+37.24+46.7</f>
        <v>1466.39</v>
      </c>
      <c r="J262" s="8"/>
      <c r="K262" s="6">
        <f t="shared" si="22"/>
        <v>2521.1000000000004</v>
      </c>
      <c r="L262" s="9"/>
      <c r="M262" s="5">
        <v>36</v>
      </c>
      <c r="N262" s="6">
        <v>455.24</v>
      </c>
    </row>
    <row r="263" spans="1:14" outlineLevel="1" x14ac:dyDescent="0.2">
      <c r="A263" s="20" t="s">
        <v>17</v>
      </c>
      <c r="B263" s="44">
        <v>2019</v>
      </c>
      <c r="C263" s="26">
        <f>397100.52+1395+4614+3596</f>
        <v>406705.52</v>
      </c>
      <c r="D263" s="36">
        <f>28017.21+313.44+390.02+306.39</f>
        <v>29027.059999999998</v>
      </c>
      <c r="E263" s="45">
        <f t="shared" si="21"/>
        <v>7.1371197519030469E-2</v>
      </c>
      <c r="F263" s="10"/>
      <c r="G263" s="35">
        <v>390000</v>
      </c>
      <c r="H263" s="36">
        <f>1770.6+78.61</f>
        <v>1849.2099999999998</v>
      </c>
      <c r="I263" s="36">
        <f>2507.7+37.24+46.7</f>
        <v>2591.6399999999994</v>
      </c>
      <c r="J263" s="23">
        <v>655.86</v>
      </c>
      <c r="K263" s="36">
        <f t="shared" si="22"/>
        <v>3784.9899999999993</v>
      </c>
      <c r="L263" s="10"/>
      <c r="M263" s="35">
        <v>26</v>
      </c>
      <c r="N263" s="36">
        <v>385.2</v>
      </c>
    </row>
    <row r="264" spans="1:14" outlineLevel="1" x14ac:dyDescent="0.2">
      <c r="A264" s="94" t="s">
        <v>18</v>
      </c>
      <c r="B264" s="3">
        <v>2019</v>
      </c>
      <c r="C264" s="4">
        <f>389913.48+5411+4021</f>
        <v>399345.48</v>
      </c>
      <c r="D264" s="6">
        <f>27669.35+452.62+339.15</f>
        <v>28461.119999999999</v>
      </c>
      <c r="E264" s="7">
        <f t="shared" si="21"/>
        <v>7.1269418148917074E-2</v>
      </c>
      <c r="F264" s="9"/>
      <c r="G264" s="5">
        <v>395000</v>
      </c>
      <c r="H264" s="6">
        <f>78.61+1793.3</f>
        <v>1871.9099999999999</v>
      </c>
      <c r="I264" s="6">
        <f>2539.85+37.24+46.7</f>
        <v>2623.7899999999995</v>
      </c>
      <c r="J264" s="8">
        <v>1433.89</v>
      </c>
      <c r="K264" s="6">
        <f t="shared" si="22"/>
        <v>3061.8099999999986</v>
      </c>
      <c r="L264" s="9"/>
      <c r="M264" s="5">
        <v>28</v>
      </c>
      <c r="N264" s="6">
        <v>396.55</v>
      </c>
    </row>
    <row r="265" spans="1:14" outlineLevel="1" x14ac:dyDescent="0.2">
      <c r="A265" s="20" t="s">
        <v>19</v>
      </c>
      <c r="B265" s="44">
        <v>2019</v>
      </c>
      <c r="C265" s="26">
        <f>3687+357779.52</f>
        <v>361466.52</v>
      </c>
      <c r="D265" s="36">
        <f>333+27696.49</f>
        <v>28029.49</v>
      </c>
      <c r="E265" s="45">
        <f t="shared" si="21"/>
        <v>7.7543806823381592E-2</v>
      </c>
      <c r="F265" s="10"/>
      <c r="G265" s="35">
        <v>425000</v>
      </c>
      <c r="H265" s="36">
        <f>78.61+1929.5</f>
        <v>2008.11</v>
      </c>
      <c r="I265" s="36">
        <f>2732.75+37.24+46.7</f>
        <v>2816.6899999999996</v>
      </c>
      <c r="J265" s="23">
        <v>1626.79</v>
      </c>
      <c r="K265" s="36">
        <f t="shared" si="22"/>
        <v>3198.0099999999993</v>
      </c>
      <c r="L265" s="10"/>
      <c r="M265" s="35">
        <v>19</v>
      </c>
      <c r="N265" s="36">
        <v>332.57</v>
      </c>
    </row>
    <row r="266" spans="1:14" outlineLevel="1" x14ac:dyDescent="0.2">
      <c r="A266" s="94" t="s">
        <v>20</v>
      </c>
      <c r="B266" s="3">
        <v>2019</v>
      </c>
      <c r="C266" s="4">
        <f>3303+4755+322417.08</f>
        <v>330475.08</v>
      </c>
      <c r="D266" s="6">
        <f>601.95+359.86+23137.6</f>
        <v>24099.41</v>
      </c>
      <c r="E266" s="7">
        <f t="shared" si="21"/>
        <v>7.2923531783394974E-2</v>
      </c>
      <c r="F266" s="9"/>
      <c r="G266" s="5">
        <v>495000</v>
      </c>
      <c r="H266" s="6">
        <f>78.61+2247.3</f>
        <v>2325.9100000000003</v>
      </c>
      <c r="I266" s="6">
        <f>37.24+3182.85</f>
        <v>3220.0899999999997</v>
      </c>
      <c r="J266" s="8"/>
      <c r="K266" s="6">
        <f t="shared" si="22"/>
        <v>5546</v>
      </c>
      <c r="L266" s="9"/>
      <c r="M266" s="5">
        <v>33</v>
      </c>
      <c r="N266" s="6">
        <v>320.18</v>
      </c>
    </row>
    <row r="267" spans="1:14" outlineLevel="1" x14ac:dyDescent="0.2">
      <c r="A267" s="20" t="s">
        <v>21</v>
      </c>
      <c r="B267" s="44">
        <v>2019</v>
      </c>
      <c r="C267" s="26">
        <f>304006.68+5351+1170</f>
        <v>310527.68</v>
      </c>
      <c r="D267" s="36">
        <f>22457.71+430.42+104.08</f>
        <v>22992.21</v>
      </c>
      <c r="E267" s="45">
        <f t="shared" si="21"/>
        <v>7.40423848849803E-2</v>
      </c>
      <c r="F267" s="10"/>
      <c r="G267" s="35">
        <v>205000</v>
      </c>
      <c r="H267" s="36">
        <f>78.61+930.7</f>
        <v>1009.3100000000001</v>
      </c>
      <c r="I267" s="36">
        <f>37.24+1318.17</f>
        <v>1355.41</v>
      </c>
      <c r="J267" s="23">
        <v>0</v>
      </c>
      <c r="K267" s="36">
        <f t="shared" si="22"/>
        <v>2364.7200000000003</v>
      </c>
      <c r="L267" s="10"/>
      <c r="M267" s="35">
        <v>276</v>
      </c>
      <c r="N267" s="36">
        <v>2083.31</v>
      </c>
    </row>
    <row r="268" spans="1:14" outlineLevel="1" x14ac:dyDescent="0.2">
      <c r="A268" s="94" t="s">
        <v>22</v>
      </c>
      <c r="B268" s="3">
        <v>2019</v>
      </c>
      <c r="C268" s="4">
        <f>314647.56+8663+355</f>
        <v>323665.56</v>
      </c>
      <c r="D268" s="6">
        <f>22555.64+603.1+38.77</f>
        <v>23197.51</v>
      </c>
      <c r="E268" s="7">
        <f t="shared" si="21"/>
        <v>7.1671233726566391E-2</v>
      </c>
      <c r="F268" s="9"/>
      <c r="G268" s="5">
        <v>360000</v>
      </c>
      <c r="H268" s="6">
        <f>76.47+1591.2</f>
        <v>1667.67</v>
      </c>
      <c r="I268" s="6">
        <f>36.22+2253.6</f>
        <v>2289.8199999999997</v>
      </c>
      <c r="J268" s="8">
        <v>0</v>
      </c>
      <c r="K268" s="6">
        <f t="shared" si="22"/>
        <v>3957.49</v>
      </c>
      <c r="L268" s="9"/>
      <c r="M268" s="5">
        <v>737</v>
      </c>
      <c r="N268" s="6">
        <v>5223.63</v>
      </c>
    </row>
    <row r="269" spans="1:14" outlineLevel="1" x14ac:dyDescent="0.2">
      <c r="A269" s="95" t="s">
        <v>23</v>
      </c>
      <c r="B269" s="37">
        <v>2019</v>
      </c>
      <c r="C269" s="38">
        <f>327081.24+12122+387</f>
        <v>339590.24</v>
      </c>
      <c r="D269" s="39">
        <f>22975.5+775.11+40.94</f>
        <v>23791.55</v>
      </c>
      <c r="E269" s="40">
        <f t="shared" si="21"/>
        <v>7.00595812176463E-2</v>
      </c>
      <c r="F269" s="20"/>
      <c r="G269" s="41">
        <v>215000</v>
      </c>
      <c r="H269" s="39">
        <f>976.1+78.61</f>
        <v>1054.71</v>
      </c>
      <c r="I269" s="39">
        <f>37.24+1382.45</f>
        <v>1419.69</v>
      </c>
      <c r="J269" s="42">
        <v>0</v>
      </c>
      <c r="K269" s="39">
        <f t="shared" si="22"/>
        <v>2474.4</v>
      </c>
      <c r="L269" s="20"/>
      <c r="M269" s="41">
        <v>1115</v>
      </c>
      <c r="N269" s="39">
        <v>8063.62</v>
      </c>
    </row>
    <row r="270" spans="1:14" x14ac:dyDescent="0.2">
      <c r="A270" s="10"/>
      <c r="B270" s="10"/>
      <c r="C270" s="17">
        <f>SUM(C258:C269)</f>
        <v>4153469.2</v>
      </c>
      <c r="D270" s="18">
        <f>SUM(D258:D269)</f>
        <v>302982.94999999995</v>
      </c>
      <c r="E270" s="19">
        <f>AVERAGE(E258:E269)</f>
        <v>7.294028372240309E-2</v>
      </c>
      <c r="F270" s="20"/>
      <c r="G270" s="21">
        <f>SUM(G258:G269)</f>
        <v>3420000</v>
      </c>
      <c r="H270" s="22">
        <f>SUM(H258:H269)</f>
        <v>16346.939999999999</v>
      </c>
      <c r="I270" s="22">
        <f>SUM(I258:I269)</f>
        <v>22505.329999999998</v>
      </c>
      <c r="J270" s="23">
        <f>SUM(J258:J269)</f>
        <v>4054.58</v>
      </c>
      <c r="K270" s="18">
        <f>SUM(K258:K269)</f>
        <v>34797.69</v>
      </c>
      <c r="L270" s="24"/>
      <c r="M270" s="25">
        <f>SUM(M258:M269)</f>
        <v>4624</v>
      </c>
      <c r="N270" s="18">
        <f>SUM(N258:N269)</f>
        <v>34560.240000000005</v>
      </c>
    </row>
    <row r="271" spans="1:14" x14ac:dyDescent="0.2">
      <c r="A271" s="10"/>
      <c r="B271" s="10"/>
      <c r="C271" s="17"/>
      <c r="D271" s="18"/>
      <c r="E271" s="19"/>
      <c r="F271" s="20"/>
      <c r="G271" s="21"/>
      <c r="H271" s="22"/>
      <c r="I271" s="22"/>
      <c r="J271" s="23"/>
      <c r="K271" s="18"/>
      <c r="L271" s="24"/>
      <c r="M271" s="25"/>
      <c r="N271" s="18"/>
    </row>
    <row r="272" spans="1:14" x14ac:dyDescent="0.2">
      <c r="A272" s="10"/>
      <c r="B272" s="10"/>
      <c r="C272" s="17"/>
      <c r="D272" s="18"/>
      <c r="E272" s="19"/>
      <c r="F272" s="20"/>
      <c r="G272" s="21"/>
      <c r="H272" s="22"/>
      <c r="I272" s="22"/>
      <c r="J272" s="23"/>
      <c r="K272" s="18"/>
      <c r="L272" s="24"/>
      <c r="M272" s="25"/>
      <c r="N272" s="18"/>
    </row>
    <row r="273" spans="1:14" x14ac:dyDescent="0.2">
      <c r="A273" s="10"/>
      <c r="B273" s="10"/>
      <c r="C273" s="26"/>
      <c r="D273" s="27"/>
      <c r="E273" s="28"/>
      <c r="F273" s="28"/>
      <c r="G273" s="26"/>
      <c r="H273" s="27"/>
      <c r="I273" s="27"/>
      <c r="J273" s="29"/>
      <c r="K273" s="27"/>
      <c r="L273" s="10"/>
      <c r="M273" s="26"/>
      <c r="N273" s="27"/>
    </row>
    <row r="274" spans="1:14" x14ac:dyDescent="0.2">
      <c r="A274" s="11">
        <v>2020</v>
      </c>
      <c r="B274" s="10"/>
      <c r="C274" s="10"/>
      <c r="D274" s="10"/>
      <c r="E274" s="10"/>
      <c r="F274" s="10"/>
      <c r="G274" s="10"/>
      <c r="H274" s="12" t="s">
        <v>0</v>
      </c>
      <c r="I274" s="12" t="s">
        <v>1</v>
      </c>
      <c r="J274" s="10"/>
      <c r="K274" s="10"/>
      <c r="L274" s="10"/>
      <c r="M274" s="12" t="s">
        <v>2</v>
      </c>
      <c r="N274" s="10"/>
    </row>
    <row r="275" spans="1:14" x14ac:dyDescent="0.2">
      <c r="A275" s="13" t="s">
        <v>3</v>
      </c>
      <c r="B275" s="14" t="s">
        <v>4</v>
      </c>
      <c r="C275" s="14" t="s">
        <v>24</v>
      </c>
      <c r="D275" s="14" t="s">
        <v>6</v>
      </c>
      <c r="E275" s="15" t="s">
        <v>7</v>
      </c>
      <c r="F275" s="10"/>
      <c r="G275" s="16" t="s">
        <v>8</v>
      </c>
      <c r="H275" s="14" t="s">
        <v>6</v>
      </c>
      <c r="I275" s="14" t="s">
        <v>6</v>
      </c>
      <c r="J275" s="14" t="s">
        <v>9</v>
      </c>
      <c r="K275" s="14" t="s">
        <v>10</v>
      </c>
      <c r="L275" s="10"/>
      <c r="M275" s="14" t="s">
        <v>11</v>
      </c>
      <c r="N275" s="14" t="s">
        <v>6</v>
      </c>
    </row>
    <row r="276" spans="1:14" outlineLevel="1" x14ac:dyDescent="0.2">
      <c r="A276" s="94" t="s">
        <v>12</v>
      </c>
      <c r="B276" s="3">
        <v>2020</v>
      </c>
      <c r="C276" s="4">
        <f>12365+322+274152.8</f>
        <v>286839.8</v>
      </c>
      <c r="D276" s="6">
        <f>755.95+29.47+16257.22</f>
        <v>17042.64</v>
      </c>
      <c r="E276" s="7">
        <f>+D276/C276</f>
        <v>5.9415185758740593E-2</v>
      </c>
      <c r="F276" s="9"/>
      <c r="G276" s="5">
        <v>398000</v>
      </c>
      <c r="H276" s="6">
        <v>78.81</v>
      </c>
      <c r="I276" s="6">
        <f>1806.92+37.24+2559.14</f>
        <v>4403.3</v>
      </c>
      <c r="J276" s="8">
        <v>0</v>
      </c>
      <c r="K276" s="6">
        <f t="shared" ref="K276:K287" si="23">H276+I276-J276</f>
        <v>4482.1100000000006</v>
      </c>
      <c r="L276" s="9"/>
      <c r="M276" s="5">
        <v>959</v>
      </c>
      <c r="N276" s="6">
        <v>6022.82</v>
      </c>
    </row>
    <row r="277" spans="1:14" outlineLevel="1" x14ac:dyDescent="0.2">
      <c r="A277" s="20" t="s">
        <v>13</v>
      </c>
      <c r="B277" s="44">
        <v>2020</v>
      </c>
      <c r="C277" s="26">
        <f>11819+271174.82</f>
        <v>282993.82</v>
      </c>
      <c r="D277" s="36">
        <f>617.67+16010.6</f>
        <v>16628.27</v>
      </c>
      <c r="E277" s="45">
        <f t="shared" ref="E277:E287" si="24">+D277/C277</f>
        <v>5.8758420943609301E-2</v>
      </c>
      <c r="F277" s="10"/>
      <c r="G277" s="35">
        <v>562000</v>
      </c>
      <c r="H277" s="36">
        <v>78.61</v>
      </c>
      <c r="I277" s="36">
        <f>2551.48+37.24+3613.66</f>
        <v>6202.3799999999992</v>
      </c>
      <c r="J277" s="23">
        <v>0</v>
      </c>
      <c r="K277" s="36">
        <f t="shared" si="23"/>
        <v>6280.9899999999989</v>
      </c>
      <c r="L277" s="10"/>
      <c r="M277" s="35">
        <v>790</v>
      </c>
      <c r="N277" s="36">
        <v>4996.1099999999997</v>
      </c>
    </row>
    <row r="278" spans="1:14" outlineLevel="1" x14ac:dyDescent="0.2">
      <c r="A278" s="94" t="s">
        <v>14</v>
      </c>
      <c r="B278" s="3">
        <v>2020</v>
      </c>
      <c r="C278" s="4">
        <f>4349+278403.84</f>
        <v>282752.84000000003</v>
      </c>
      <c r="D278" s="6">
        <f>324.56+16349.42</f>
        <v>16673.98</v>
      </c>
      <c r="E278" s="7">
        <f t="shared" si="24"/>
        <v>5.8970159238718865E-2</v>
      </c>
      <c r="F278" s="9"/>
      <c r="G278" s="5">
        <v>55000</v>
      </c>
      <c r="H278" s="6">
        <v>249.7</v>
      </c>
      <c r="I278" s="6">
        <f>37.24+78.61+353.65</f>
        <v>469.5</v>
      </c>
      <c r="J278" s="8">
        <v>0</v>
      </c>
      <c r="K278" s="6">
        <f t="shared" si="23"/>
        <v>719.2</v>
      </c>
      <c r="L278" s="9"/>
      <c r="M278" s="5">
        <v>314</v>
      </c>
      <c r="N278" s="6">
        <v>2110.13</v>
      </c>
    </row>
    <row r="279" spans="1:14" outlineLevel="1" x14ac:dyDescent="0.2">
      <c r="A279" s="20" t="s">
        <v>15</v>
      </c>
      <c r="B279" s="44">
        <v>2020</v>
      </c>
      <c r="C279" s="26">
        <f>3085+297979.92</f>
        <v>301064.92</v>
      </c>
      <c r="D279" s="36">
        <f>203.71+17163.9</f>
        <v>17367.61</v>
      </c>
      <c r="E279" s="45">
        <f t="shared" si="24"/>
        <v>5.7687258947339337E-2</v>
      </c>
      <c r="F279" s="10"/>
      <c r="G279" s="35">
        <v>569000</v>
      </c>
      <c r="H279" s="36">
        <v>80.3</v>
      </c>
      <c r="I279" s="36">
        <f>2638.9+38.03+3739.65</f>
        <v>6416.58</v>
      </c>
      <c r="J279" s="23">
        <v>0</v>
      </c>
      <c r="K279" s="36">
        <f t="shared" si="23"/>
        <v>6496.88</v>
      </c>
      <c r="L279" s="10"/>
      <c r="M279" s="35">
        <v>393</v>
      </c>
      <c r="N279" s="36">
        <v>2589.58</v>
      </c>
    </row>
    <row r="280" spans="1:14" outlineLevel="1" x14ac:dyDescent="0.2">
      <c r="A280" s="94" t="s">
        <v>16</v>
      </c>
      <c r="B280" s="3">
        <v>2020</v>
      </c>
      <c r="C280" s="4">
        <f>304116.12</f>
        <v>304116.12</v>
      </c>
      <c r="D280" s="6">
        <v>17672.96</v>
      </c>
      <c r="E280" s="7">
        <f t="shared" si="24"/>
        <v>5.8112539381338944E-2</v>
      </c>
      <c r="F280" s="9"/>
      <c r="G280" s="5">
        <v>298000</v>
      </c>
      <c r="H280" s="6">
        <v>47.43</v>
      </c>
      <c r="I280" s="6">
        <f>81.37+1400.6+38.54+1984.68</f>
        <v>3505.1899999999996</v>
      </c>
      <c r="J280" s="8">
        <v>649.42999999999995</v>
      </c>
      <c r="K280" s="6">
        <f t="shared" si="23"/>
        <v>2903.1899999999996</v>
      </c>
      <c r="L280" s="9"/>
      <c r="M280" s="5">
        <v>123</v>
      </c>
      <c r="N280" s="6">
        <v>952.51</v>
      </c>
    </row>
    <row r="281" spans="1:14" outlineLevel="1" x14ac:dyDescent="0.2">
      <c r="A281" s="20" t="s">
        <v>17</v>
      </c>
      <c r="B281" s="44">
        <v>2020</v>
      </c>
      <c r="C281" s="26">
        <f>11819+274174.92</f>
        <v>285993.92</v>
      </c>
      <c r="D281" s="36">
        <f>617.67+16010.6</f>
        <v>16628.27</v>
      </c>
      <c r="E281" s="45">
        <f t="shared" si="24"/>
        <v>5.8142040222393547E-2</v>
      </c>
      <c r="F281" s="10"/>
      <c r="G281" s="35">
        <v>268000</v>
      </c>
      <c r="H281" s="36">
        <v>47.43</v>
      </c>
      <c r="I281" s="36">
        <f>81.37+1259.6+38.54+1784.88</f>
        <v>3164.39</v>
      </c>
      <c r="J281" s="23">
        <v>707.3</v>
      </c>
      <c r="K281" s="36">
        <f t="shared" si="23"/>
        <v>2504.5199999999995</v>
      </c>
      <c r="L281" s="10"/>
      <c r="M281" s="35">
        <v>31</v>
      </c>
      <c r="N281" s="36">
        <v>417.28</v>
      </c>
    </row>
    <row r="282" spans="1:14" outlineLevel="1" x14ac:dyDescent="0.2">
      <c r="A282" s="94" t="s">
        <v>18</v>
      </c>
      <c r="B282" s="3">
        <v>2020</v>
      </c>
      <c r="C282" s="4">
        <f>5357+2376+342188</f>
        <v>349921</v>
      </c>
      <c r="D282" s="6">
        <f>303.34+161.21+40197.59</f>
        <v>40662.14</v>
      </c>
      <c r="E282" s="7">
        <f t="shared" si="24"/>
        <v>0.11620377170847133</v>
      </c>
      <c r="F282" s="9"/>
      <c r="G282" s="5">
        <v>435000</v>
      </c>
      <c r="H282" s="6">
        <v>2897.1</v>
      </c>
      <c r="I282" s="6">
        <f>81.37+2044.5+38.54</f>
        <v>2164.41</v>
      </c>
      <c r="J282" s="8">
        <v>0</v>
      </c>
      <c r="K282" s="6">
        <f t="shared" si="23"/>
        <v>5061.51</v>
      </c>
      <c r="L282" s="9"/>
      <c r="M282" s="5">
        <v>37</v>
      </c>
      <c r="N282" s="6">
        <v>452.14</v>
      </c>
    </row>
    <row r="283" spans="1:14" outlineLevel="1" x14ac:dyDescent="0.2">
      <c r="A283" s="20" t="s">
        <v>19</v>
      </c>
      <c r="B283" s="44">
        <v>2020</v>
      </c>
      <c r="C283" s="26">
        <f>5568+1388+350677</f>
        <v>357633</v>
      </c>
      <c r="D283" s="36">
        <f>309.88+98.29+20627.41</f>
        <v>21035.579999999998</v>
      </c>
      <c r="E283" s="45">
        <f t="shared" si="24"/>
        <v>5.8818900940349458E-2</v>
      </c>
      <c r="F283" s="10"/>
      <c r="G283" s="35">
        <v>446000</v>
      </c>
      <c r="H283" s="36">
        <v>81.37</v>
      </c>
      <c r="I283" s="36">
        <f>2096.2+38.54+2970.36</f>
        <v>5105.1000000000004</v>
      </c>
      <c r="J283" s="23">
        <v>0</v>
      </c>
      <c r="K283" s="36">
        <f t="shared" si="23"/>
        <v>5186.47</v>
      </c>
      <c r="L283" s="10"/>
      <c r="M283" s="35">
        <v>26</v>
      </c>
      <c r="N283" s="36">
        <v>385.94</v>
      </c>
    </row>
    <row r="284" spans="1:14" outlineLevel="1" x14ac:dyDescent="0.2">
      <c r="A284" s="94" t="s">
        <v>20</v>
      </c>
      <c r="B284" s="3">
        <v>2020</v>
      </c>
      <c r="C284" s="4">
        <f>3684+323+364566</f>
        <v>368573</v>
      </c>
      <c r="D284" s="6">
        <f>313.82+28.63+20025.59</f>
        <v>20368.04</v>
      </c>
      <c r="E284" s="7">
        <f t="shared" si="24"/>
        <v>5.5261888418305198E-2</v>
      </c>
      <c r="F284" s="9"/>
      <c r="G284" s="5">
        <v>131000</v>
      </c>
      <c r="H284" s="6">
        <v>38.54</v>
      </c>
      <c r="I284" s="6">
        <f>872.46+81.37+615.7+47.43</f>
        <v>1616.9600000000003</v>
      </c>
      <c r="J284" s="8">
        <v>1831.5</v>
      </c>
      <c r="K284" s="6">
        <f t="shared" si="23"/>
        <v>-175.99999999999977</v>
      </c>
      <c r="L284" s="9"/>
      <c r="M284" s="5">
        <v>49</v>
      </c>
      <c r="N284" s="6">
        <v>524.29</v>
      </c>
    </row>
    <row r="285" spans="1:14" outlineLevel="1" x14ac:dyDescent="0.2">
      <c r="A285" s="20" t="s">
        <v>21</v>
      </c>
      <c r="B285" s="44">
        <v>2020</v>
      </c>
      <c r="C285" s="26">
        <f>313280+323+3684</f>
        <v>317287</v>
      </c>
      <c r="D285" s="36">
        <f>38346.74+28.63+313.82</f>
        <v>38689.189999999995</v>
      </c>
      <c r="E285" s="45">
        <f t="shared" si="24"/>
        <v>0.12193752028920188</v>
      </c>
      <c r="F285" s="10"/>
      <c r="G285" s="35">
        <v>501000</v>
      </c>
      <c r="H285" s="36">
        <v>81.37</v>
      </c>
      <c r="I285" s="36">
        <f>2354.7+38.54+3336.66</f>
        <v>5729.9</v>
      </c>
      <c r="J285" s="23">
        <v>0</v>
      </c>
      <c r="K285" s="36">
        <f t="shared" si="23"/>
        <v>5811.2699999999995</v>
      </c>
      <c r="L285" s="10"/>
      <c r="M285" s="35">
        <v>213</v>
      </c>
      <c r="N285" s="36">
        <v>1510.84</v>
      </c>
    </row>
    <row r="286" spans="1:14" outlineLevel="1" x14ac:dyDescent="0.2">
      <c r="A286" s="94" t="s">
        <v>22</v>
      </c>
      <c r="B286" s="3">
        <v>2020</v>
      </c>
      <c r="C286" s="4">
        <f>6689+363+330176</f>
        <v>337228</v>
      </c>
      <c r="D286" s="6">
        <f>435.04+31.17+18969.84</f>
        <v>19436.05</v>
      </c>
      <c r="E286" s="7">
        <f t="shared" si="24"/>
        <v>5.76347456320353E-2</v>
      </c>
      <c r="F286" s="9"/>
      <c r="G286" s="5">
        <v>283000</v>
      </c>
      <c r="H286" s="6">
        <v>81.37</v>
      </c>
      <c r="I286" s="6">
        <f>1330.1+38.54+1884.78</f>
        <v>3253.42</v>
      </c>
      <c r="J286" s="8">
        <v>0</v>
      </c>
      <c r="K286" s="6">
        <f t="shared" si="23"/>
        <v>3334.79</v>
      </c>
      <c r="L286" s="9"/>
      <c r="M286" s="5">
        <v>442</v>
      </c>
      <c r="N286" s="6">
        <v>2888.43</v>
      </c>
    </row>
    <row r="287" spans="1:14" outlineLevel="1" x14ac:dyDescent="0.2">
      <c r="A287" s="95" t="s">
        <v>23</v>
      </c>
      <c r="B287" s="37">
        <v>2020</v>
      </c>
      <c r="C287" s="38">
        <f>80405+13107+352560</f>
        <v>446072</v>
      </c>
      <c r="D287" s="39">
        <f>36.86+696.73+19380.03</f>
        <v>20113.62</v>
      </c>
      <c r="E287" s="40">
        <f t="shared" si="24"/>
        <v>4.5090523502932259E-2</v>
      </c>
      <c r="F287" s="20"/>
      <c r="G287" s="41">
        <v>311000</v>
      </c>
      <c r="H287" s="39">
        <v>38.54</v>
      </c>
      <c r="I287" s="39">
        <f>2071.26+81.37+1461.7</f>
        <v>3614.33</v>
      </c>
      <c r="J287" s="42">
        <v>0</v>
      </c>
      <c r="K287" s="39">
        <f t="shared" si="23"/>
        <v>3652.87</v>
      </c>
      <c r="L287" s="20"/>
      <c r="M287" s="41">
        <v>1288</v>
      </c>
      <c r="N287" s="39">
        <v>7979.77</v>
      </c>
    </row>
    <row r="288" spans="1:14" x14ac:dyDescent="0.2">
      <c r="A288" s="10"/>
      <c r="B288" s="10"/>
      <c r="C288" s="17">
        <f>SUM(C276:C287)</f>
        <v>3920475.42</v>
      </c>
      <c r="D288" s="18">
        <f>SUM(D276:D287)</f>
        <v>262318.34999999998</v>
      </c>
      <c r="E288" s="19">
        <f>AVERAGE(E276:E287)</f>
        <v>6.7169412915286345E-2</v>
      </c>
      <c r="F288" s="20"/>
      <c r="G288" s="21">
        <f>SUM(G276:G287)</f>
        <v>4257000</v>
      </c>
      <c r="H288" s="22">
        <f>SUM(H276:H287)</f>
        <v>3800.5699999999997</v>
      </c>
      <c r="I288" s="22">
        <f>SUM(I276:I287)</f>
        <v>45645.46</v>
      </c>
      <c r="J288" s="23">
        <f>SUM(J276:J287)</f>
        <v>3188.23</v>
      </c>
      <c r="K288" s="18">
        <f>SUM(K276:K287)</f>
        <v>46257.8</v>
      </c>
      <c r="L288" s="24"/>
      <c r="M288" s="25">
        <f>SUM(M276:M287)</f>
        <v>4665</v>
      </c>
      <c r="N288" s="18">
        <f>SUM(N276:N287)</f>
        <v>30829.84</v>
      </c>
    </row>
    <row r="289" spans="1:18" x14ac:dyDescent="0.2">
      <c r="A289" s="10"/>
      <c r="B289" s="10"/>
      <c r="C289" s="17"/>
      <c r="D289" s="18"/>
      <c r="E289" s="19"/>
      <c r="F289" s="20"/>
      <c r="G289" s="21"/>
      <c r="H289" s="22"/>
      <c r="I289" s="22"/>
      <c r="J289" s="23"/>
      <c r="K289" s="18"/>
      <c r="L289" s="24"/>
      <c r="M289" s="25"/>
      <c r="N289" s="18"/>
    </row>
    <row r="290" spans="1:18" x14ac:dyDescent="0.2">
      <c r="A290" s="10"/>
      <c r="B290" s="10"/>
      <c r="C290" s="17"/>
      <c r="D290" s="18"/>
      <c r="E290" s="19"/>
      <c r="F290" s="20"/>
      <c r="G290" s="21"/>
      <c r="H290" s="22"/>
      <c r="I290" s="22"/>
      <c r="J290" s="23"/>
      <c r="K290" s="18"/>
      <c r="L290" s="24"/>
      <c r="M290" s="25"/>
      <c r="N290" s="18"/>
    </row>
    <row r="291" spans="1:18" x14ac:dyDescent="0.2">
      <c r="A291" s="10"/>
      <c r="B291" s="10"/>
      <c r="C291" s="26"/>
      <c r="D291" s="27"/>
      <c r="E291" s="28"/>
      <c r="F291" s="28"/>
      <c r="G291" s="26"/>
      <c r="H291" s="27"/>
      <c r="I291" s="27"/>
      <c r="J291" s="29"/>
      <c r="K291" s="27"/>
      <c r="L291" s="10"/>
      <c r="M291" s="26"/>
      <c r="N291" s="27"/>
    </row>
    <row r="292" spans="1:18" x14ac:dyDescent="0.2">
      <c r="A292" s="11">
        <v>2021</v>
      </c>
      <c r="B292" s="10"/>
      <c r="C292" s="10"/>
      <c r="D292" s="10"/>
      <c r="E292" s="10"/>
      <c r="F292" s="10"/>
      <c r="G292" s="10"/>
      <c r="H292" s="12" t="s">
        <v>0</v>
      </c>
      <c r="I292" s="12" t="s">
        <v>1</v>
      </c>
      <c r="J292" s="10"/>
      <c r="K292" s="10"/>
      <c r="L292" s="10"/>
      <c r="M292" s="12" t="s">
        <v>2</v>
      </c>
      <c r="N292" s="10"/>
    </row>
    <row r="293" spans="1:18" x14ac:dyDescent="0.2">
      <c r="A293" s="13" t="s">
        <v>3</v>
      </c>
      <c r="B293" s="14" t="s">
        <v>4</v>
      </c>
      <c r="C293" s="14" t="s">
        <v>24</v>
      </c>
      <c r="D293" s="14" t="s">
        <v>6</v>
      </c>
      <c r="E293" s="15" t="s">
        <v>7</v>
      </c>
      <c r="F293" s="10"/>
      <c r="G293" s="16" t="s">
        <v>8</v>
      </c>
      <c r="H293" s="14" t="s">
        <v>6</v>
      </c>
      <c r="I293" s="14" t="s">
        <v>6</v>
      </c>
      <c r="J293" s="14" t="s">
        <v>9</v>
      </c>
      <c r="K293" s="14" t="s">
        <v>10</v>
      </c>
      <c r="L293" s="10"/>
      <c r="M293" s="14" t="s">
        <v>11</v>
      </c>
      <c r="N293" s="14" t="s">
        <v>6</v>
      </c>
    </row>
    <row r="294" spans="1:18" outlineLevel="1" x14ac:dyDescent="0.2">
      <c r="A294" s="94" t="s">
        <v>12</v>
      </c>
      <c r="B294" s="3">
        <v>2021</v>
      </c>
      <c r="C294" s="4">
        <f>321174+14389+435</f>
        <v>335998</v>
      </c>
      <c r="D294" s="6">
        <f>18547.6+762.64+36.28</f>
        <v>19346.519999999997</v>
      </c>
      <c r="E294" s="7">
        <f>+D294/C294</f>
        <v>5.7579271305186329E-2</v>
      </c>
      <c r="F294" s="9"/>
      <c r="G294" s="5">
        <v>253000</v>
      </c>
      <c r="H294" s="6">
        <v>1317</v>
      </c>
      <c r="I294" s="6">
        <v>1724</v>
      </c>
      <c r="J294" s="8">
        <v>519</v>
      </c>
      <c r="K294" s="6">
        <f t="shared" ref="K294:K305" si="25">H294+I294-J294</f>
        <v>2522</v>
      </c>
      <c r="L294" s="9"/>
      <c r="M294" s="5">
        <v>1107</v>
      </c>
      <c r="N294" s="6">
        <v>7410.87</v>
      </c>
      <c r="R294" s="1"/>
    </row>
    <row r="295" spans="1:18" outlineLevel="1" x14ac:dyDescent="0.2">
      <c r="A295" s="20" t="s">
        <v>13</v>
      </c>
      <c r="B295" s="44">
        <v>2021</v>
      </c>
      <c r="C295" s="26">
        <f>244102+8935+377</f>
        <v>253414</v>
      </c>
      <c r="D295" s="36">
        <f>14503.09+522.08+54.13</f>
        <v>15079.3</v>
      </c>
      <c r="E295" s="45">
        <f t="shared" ref="E295:E305" si="26">+D295/C295</f>
        <v>5.950460511258257E-2</v>
      </c>
      <c r="F295" s="10"/>
      <c r="G295" s="35">
        <v>138000</v>
      </c>
      <c r="H295" s="36">
        <v>777</v>
      </c>
      <c r="I295" s="36">
        <v>958</v>
      </c>
      <c r="J295" s="23">
        <v>539</v>
      </c>
      <c r="K295" s="36">
        <f t="shared" si="25"/>
        <v>1196</v>
      </c>
      <c r="L295" s="10"/>
      <c r="M295" s="35">
        <v>1312</v>
      </c>
      <c r="N295" s="36">
        <v>8739.9</v>
      </c>
      <c r="R295" s="1"/>
    </row>
    <row r="296" spans="1:18" outlineLevel="1" x14ac:dyDescent="0.2">
      <c r="A296" s="94" t="s">
        <v>14</v>
      </c>
      <c r="B296" s="3">
        <v>2021</v>
      </c>
      <c r="C296" s="4">
        <f>262774+3940+427</f>
        <v>267141</v>
      </c>
      <c r="D296" s="6">
        <f>16266.91+36.28+286.96</f>
        <v>16590.150000000001</v>
      </c>
      <c r="E296" s="7">
        <f t="shared" si="26"/>
        <v>6.2102597504688543E-2</v>
      </c>
      <c r="F296" s="9"/>
      <c r="G296" s="5">
        <v>87000</v>
      </c>
      <c r="H296" s="6">
        <v>490</v>
      </c>
      <c r="I296" s="6">
        <v>618</v>
      </c>
      <c r="J296" s="8">
        <v>0</v>
      </c>
      <c r="K296" s="6">
        <f t="shared" si="25"/>
        <v>1108</v>
      </c>
      <c r="L296" s="9"/>
      <c r="M296" s="5">
        <v>263</v>
      </c>
      <c r="N296" s="6">
        <v>1938.43</v>
      </c>
      <c r="R296" s="1"/>
    </row>
    <row r="297" spans="1:18" outlineLevel="1" x14ac:dyDescent="0.2">
      <c r="A297" s="20" t="s">
        <v>15</v>
      </c>
      <c r="B297" s="44">
        <v>2021</v>
      </c>
      <c r="C297" s="26">
        <f>289292+525+2014</f>
        <v>291831</v>
      </c>
      <c r="D297" s="36">
        <f>18345.9+173.29+43.88</f>
        <v>18563.070000000003</v>
      </c>
      <c r="E297" s="45">
        <f t="shared" si="26"/>
        <v>6.3608972316169299E-2</v>
      </c>
      <c r="F297" s="10"/>
      <c r="G297" s="35">
        <v>128000</v>
      </c>
      <c r="H297" s="36">
        <v>690</v>
      </c>
      <c r="I297" s="36">
        <v>902</v>
      </c>
      <c r="J297" s="23">
        <v>0</v>
      </c>
      <c r="K297" s="36">
        <f t="shared" si="25"/>
        <v>1592</v>
      </c>
      <c r="L297" s="10"/>
      <c r="M297" s="35">
        <v>168</v>
      </c>
      <c r="N297" s="36">
        <v>1321.29</v>
      </c>
      <c r="R297" s="1"/>
    </row>
    <row r="298" spans="1:18" outlineLevel="1" x14ac:dyDescent="0.2">
      <c r="A298" s="94" t="s">
        <v>16</v>
      </c>
      <c r="B298" s="3">
        <v>2021</v>
      </c>
      <c r="C298" s="4">
        <f>345256+351+2701</f>
        <v>348308</v>
      </c>
      <c r="D298" s="6">
        <f>19642.93+31.35+195.6+9681.18</f>
        <v>29551.059999999998</v>
      </c>
      <c r="E298" s="7">
        <f t="shared" si="26"/>
        <v>8.4841749256405238E-2</v>
      </c>
      <c r="F298" s="9"/>
      <c r="G298" s="5">
        <v>332000</v>
      </c>
      <c r="H298" s="6">
        <v>1667</v>
      </c>
      <c r="I298" s="6">
        <v>2283</v>
      </c>
      <c r="J298" s="8">
        <v>0</v>
      </c>
      <c r="K298" s="6">
        <f t="shared" si="25"/>
        <v>3950</v>
      </c>
      <c r="L298" s="9"/>
      <c r="M298" s="5">
        <v>64</v>
      </c>
      <c r="N298" s="6">
        <v>646.85</v>
      </c>
      <c r="R298" s="1"/>
    </row>
    <row r="299" spans="1:18" outlineLevel="1" x14ac:dyDescent="0.2">
      <c r="A299" s="20" t="s">
        <v>17</v>
      </c>
      <c r="B299" s="44">
        <v>2021</v>
      </c>
      <c r="C299" s="26">
        <f>4694+319+353598</f>
        <v>358611</v>
      </c>
      <c r="D299" s="36">
        <f>29.62+20533.86+284.82+983.43</f>
        <v>21831.73</v>
      </c>
      <c r="E299" s="45">
        <f t="shared" si="26"/>
        <v>6.0878584315595452E-2</v>
      </c>
      <c r="F299" s="10"/>
      <c r="G299" s="35">
        <v>146000</v>
      </c>
      <c r="H299" s="36">
        <v>779</v>
      </c>
      <c r="I299" s="36">
        <v>1026</v>
      </c>
      <c r="J299" s="23">
        <v>0</v>
      </c>
      <c r="K299" s="36">
        <f t="shared" si="25"/>
        <v>1805</v>
      </c>
      <c r="L299" s="10"/>
      <c r="M299" s="35">
        <v>22</v>
      </c>
      <c r="N299" s="36">
        <v>399.46</v>
      </c>
      <c r="R299" s="1"/>
    </row>
    <row r="300" spans="1:18" outlineLevel="1" x14ac:dyDescent="0.2">
      <c r="A300" s="94" t="s">
        <v>18</v>
      </c>
      <c r="B300" s="3">
        <v>2021</v>
      </c>
      <c r="C300" s="4">
        <f>4664+334+337380</f>
        <v>342378</v>
      </c>
      <c r="D300" s="6">
        <f>86.75+30.61+19895.96</f>
        <v>20013.32</v>
      </c>
      <c r="E300" s="7">
        <f t="shared" si="26"/>
        <v>5.845387262032023E-2</v>
      </c>
      <c r="F300" s="9"/>
      <c r="G300" s="5">
        <v>166000</v>
      </c>
      <c r="H300" s="6">
        <v>922</v>
      </c>
      <c r="I300" s="6">
        <v>1161</v>
      </c>
      <c r="J300" s="8">
        <v>865</v>
      </c>
      <c r="K300" s="6">
        <f t="shared" si="25"/>
        <v>1218</v>
      </c>
      <c r="L300" s="9"/>
      <c r="M300" s="5">
        <v>26</v>
      </c>
      <c r="N300" s="6">
        <v>451.69</v>
      </c>
      <c r="R300" s="1"/>
    </row>
    <row r="301" spans="1:18" outlineLevel="1" x14ac:dyDescent="0.2">
      <c r="A301" s="20" t="s">
        <v>19</v>
      </c>
      <c r="B301" s="44">
        <v>2021</v>
      </c>
      <c r="C301" s="26">
        <f>5924+334938+344</f>
        <v>341206</v>
      </c>
      <c r="D301" s="36">
        <f>385.86+31.52+20579.63</f>
        <v>20997.010000000002</v>
      </c>
      <c r="E301" s="45">
        <f t="shared" si="26"/>
        <v>6.153763415649198E-2</v>
      </c>
      <c r="F301" s="10"/>
      <c r="G301" s="35">
        <v>217000</v>
      </c>
      <c r="H301" s="36">
        <v>1118</v>
      </c>
      <c r="I301" s="36">
        <v>1506</v>
      </c>
      <c r="J301" s="23">
        <v>0</v>
      </c>
      <c r="K301" s="36">
        <f t="shared" si="25"/>
        <v>2624</v>
      </c>
      <c r="L301" s="10"/>
      <c r="M301" s="35">
        <v>24</v>
      </c>
      <c r="N301" s="36">
        <v>436.72</v>
      </c>
      <c r="R301" s="1"/>
    </row>
    <row r="302" spans="1:18" outlineLevel="1" x14ac:dyDescent="0.2">
      <c r="A302" s="94" t="s">
        <v>20</v>
      </c>
      <c r="B302" s="3">
        <v>2021</v>
      </c>
      <c r="C302" s="4">
        <f>4817+320+346037</f>
        <v>351174</v>
      </c>
      <c r="D302" s="6">
        <f>302.77+30.41+21020.04</f>
        <v>21353.22</v>
      </c>
      <c r="E302" s="7">
        <f t="shared" si="26"/>
        <v>6.0805241845922536E-2</v>
      </c>
      <c r="F302" s="9"/>
      <c r="G302" s="5">
        <v>206000</v>
      </c>
      <c r="H302" s="6">
        <v>1261</v>
      </c>
      <c r="I302" s="6">
        <v>1638</v>
      </c>
      <c r="J302" s="8">
        <v>0</v>
      </c>
      <c r="K302" s="6">
        <f t="shared" si="25"/>
        <v>2899</v>
      </c>
      <c r="L302" s="9"/>
      <c r="M302" s="5">
        <v>57</v>
      </c>
      <c r="N302" s="6">
        <v>684.18</v>
      </c>
      <c r="R302" s="1"/>
    </row>
    <row r="303" spans="1:18" outlineLevel="1" x14ac:dyDescent="0.2">
      <c r="A303" s="20" t="s">
        <v>21</v>
      </c>
      <c r="B303" s="44">
        <v>2021</v>
      </c>
      <c r="C303" s="26">
        <f>4001+307+305674</f>
        <v>309982</v>
      </c>
      <c r="D303" s="36">
        <f>263.92+29.6+19348.85</f>
        <v>19642.37</v>
      </c>
      <c r="E303" s="45">
        <f t="shared" si="26"/>
        <v>6.3366163196572706E-2</v>
      </c>
      <c r="F303" s="10"/>
      <c r="G303" s="35">
        <v>554000</v>
      </c>
      <c r="H303" s="36">
        <v>3223</v>
      </c>
      <c r="I303" s="36">
        <v>4244</v>
      </c>
      <c r="J303" s="23">
        <v>0</v>
      </c>
      <c r="K303" s="36">
        <f t="shared" si="25"/>
        <v>7467</v>
      </c>
      <c r="L303" s="10"/>
      <c r="M303" s="35">
        <v>161</v>
      </c>
      <c r="N303" s="36">
        <v>1464.25</v>
      </c>
      <c r="R303" s="1"/>
    </row>
    <row r="304" spans="1:18" outlineLevel="1" x14ac:dyDescent="0.2">
      <c r="A304" s="94" t="s">
        <v>22</v>
      </c>
      <c r="B304" s="3">
        <v>2021</v>
      </c>
      <c r="C304" s="4">
        <f>433+2174+300390</f>
        <v>302997</v>
      </c>
      <c r="D304" s="6">
        <f>18782.84+38.75+182.36</f>
        <v>19003.95</v>
      </c>
      <c r="E304" s="7">
        <f t="shared" si="26"/>
        <v>6.2719927920078425E-2</v>
      </c>
      <c r="F304" s="9"/>
      <c r="G304" s="5"/>
      <c r="H304" s="6"/>
      <c r="I304" s="6"/>
      <c r="J304" s="8"/>
      <c r="K304" s="6">
        <v>10055.4</v>
      </c>
      <c r="L304" s="9"/>
      <c r="M304" s="5">
        <f>306+310</f>
        <v>616</v>
      </c>
      <c r="N304" s="6">
        <v>4877.88</v>
      </c>
      <c r="R304" s="1"/>
    </row>
    <row r="305" spans="1:18" outlineLevel="1" x14ac:dyDescent="0.2">
      <c r="A305" s="95" t="s">
        <v>23</v>
      </c>
      <c r="B305" s="37">
        <v>2021</v>
      </c>
      <c r="C305" s="38">
        <f>331135+439+1858</f>
        <v>333432</v>
      </c>
      <c r="D305" s="39">
        <f>19567.73+38.61+130.84</f>
        <v>19737.18</v>
      </c>
      <c r="E305" s="40">
        <f t="shared" si="26"/>
        <v>5.9194018570503132E-2</v>
      </c>
      <c r="F305" s="20"/>
      <c r="G305" s="41">
        <v>251000</v>
      </c>
      <c r="H305" s="39">
        <v>1535</v>
      </c>
      <c r="I305" s="39">
        <v>2023</v>
      </c>
      <c r="J305" s="42">
        <v>0</v>
      </c>
      <c r="K305" s="39">
        <f t="shared" si="25"/>
        <v>3558</v>
      </c>
      <c r="L305" s="20"/>
      <c r="M305" s="41">
        <v>442</v>
      </c>
      <c r="N305" s="39">
        <v>3574.68</v>
      </c>
      <c r="R305" s="1"/>
    </row>
    <row r="306" spans="1:18" x14ac:dyDescent="0.2">
      <c r="A306" s="10"/>
      <c r="B306" s="10"/>
      <c r="C306" s="17">
        <f>SUM(C294:C305)</f>
        <v>3836472</v>
      </c>
      <c r="D306" s="18">
        <f>SUM(D294:D305)</f>
        <v>241708.88</v>
      </c>
      <c r="E306" s="19">
        <f>+D306/C306</f>
        <v>6.3002904752074304E-2</v>
      </c>
      <c r="F306" s="20"/>
      <c r="G306" s="21">
        <f>SUM(G294:G305)</f>
        <v>2478000</v>
      </c>
      <c r="H306" s="22">
        <f>SUM(H294:H305)</f>
        <v>13779</v>
      </c>
      <c r="I306" s="22">
        <f>SUM(I294:I305)</f>
        <v>18083</v>
      </c>
      <c r="J306" s="23">
        <f>SUM(J294:J305)</f>
        <v>1923</v>
      </c>
      <c r="K306" s="18">
        <v>39994</v>
      </c>
      <c r="L306" s="24"/>
      <c r="M306" s="25">
        <f>SUM(M294:M305)</f>
        <v>4262</v>
      </c>
      <c r="N306" s="18">
        <f>SUM(N294:N305)</f>
        <v>31946.2</v>
      </c>
      <c r="R306" s="1"/>
    </row>
    <row r="307" spans="1:18" x14ac:dyDescent="0.2">
      <c r="A307" s="10"/>
      <c r="B307" s="10"/>
      <c r="C307" s="17"/>
      <c r="D307" s="18"/>
      <c r="E307" s="19"/>
      <c r="F307" s="20"/>
      <c r="G307" s="21"/>
      <c r="H307" s="22"/>
      <c r="I307" s="22"/>
      <c r="J307" s="23"/>
      <c r="K307" s="18"/>
      <c r="L307" s="24"/>
      <c r="M307" s="25"/>
      <c r="N307" s="18"/>
    </row>
    <row r="308" spans="1:18" x14ac:dyDescent="0.2">
      <c r="A308" s="10"/>
      <c r="B308" s="10"/>
      <c r="C308" s="17"/>
      <c r="D308" s="18"/>
      <c r="E308" s="19"/>
      <c r="F308" s="20"/>
      <c r="G308" s="21"/>
      <c r="H308" s="22"/>
      <c r="I308" s="22"/>
      <c r="J308" s="23"/>
      <c r="K308" s="18"/>
      <c r="L308" s="24"/>
      <c r="M308" s="25"/>
      <c r="N308" s="18"/>
    </row>
    <row r="309" spans="1:18" x14ac:dyDescent="0.2">
      <c r="A309" s="10"/>
      <c r="B309" s="10"/>
      <c r="C309" s="26"/>
      <c r="D309" s="27"/>
      <c r="E309" s="28"/>
      <c r="F309" s="28"/>
      <c r="G309" s="26"/>
      <c r="H309" s="27"/>
      <c r="I309" s="27"/>
      <c r="J309" s="29"/>
      <c r="K309" s="27"/>
      <c r="L309" s="10"/>
      <c r="M309" s="26"/>
      <c r="N309" s="27"/>
    </row>
    <row r="310" spans="1:18" x14ac:dyDescent="0.2">
      <c r="A310" s="11">
        <v>2022</v>
      </c>
      <c r="B310" s="10"/>
      <c r="C310" s="10"/>
      <c r="D310" s="10"/>
      <c r="E310" s="10"/>
      <c r="F310" s="10"/>
      <c r="G310" s="10"/>
      <c r="H310" s="12" t="s">
        <v>0</v>
      </c>
      <c r="I310" s="12" t="s">
        <v>1</v>
      </c>
      <c r="J310" s="10"/>
      <c r="K310" s="10"/>
      <c r="L310" s="10"/>
      <c r="M310" s="12" t="s">
        <v>2</v>
      </c>
      <c r="N310" s="10"/>
    </row>
    <row r="311" spans="1:18" x14ac:dyDescent="0.2">
      <c r="A311" s="13" t="s">
        <v>3</v>
      </c>
      <c r="B311" s="14" t="s">
        <v>4</v>
      </c>
      <c r="C311" s="14" t="s">
        <v>24</v>
      </c>
      <c r="D311" s="14" t="s">
        <v>6</v>
      </c>
      <c r="E311" s="15" t="s">
        <v>7</v>
      </c>
      <c r="F311" s="10"/>
      <c r="G311" s="16" t="s">
        <v>8</v>
      </c>
      <c r="H311" s="14" t="s">
        <v>6</v>
      </c>
      <c r="I311" s="14" t="s">
        <v>6</v>
      </c>
      <c r="J311" s="14" t="s">
        <v>9</v>
      </c>
      <c r="K311" s="14" t="s">
        <v>10</v>
      </c>
      <c r="L311" s="10"/>
      <c r="M311" s="14" t="s">
        <v>11</v>
      </c>
      <c r="N311" s="14" t="s">
        <v>6</v>
      </c>
    </row>
    <row r="312" spans="1:18" outlineLevel="1" x14ac:dyDescent="0.2">
      <c r="A312" s="94" t="s">
        <v>12</v>
      </c>
      <c r="B312" s="3">
        <v>2022</v>
      </c>
      <c r="C312" s="4">
        <f>416+2037+280499</f>
        <v>282952</v>
      </c>
      <c r="D312" s="6">
        <f>17693+141+76</f>
        <v>17910</v>
      </c>
      <c r="E312" s="7">
        <f>+D312/C312</f>
        <v>6.3296954960558677E-2</v>
      </c>
      <c r="F312" s="9"/>
      <c r="G312" s="5">
        <v>90000</v>
      </c>
      <c r="H312" s="6">
        <v>648</v>
      </c>
      <c r="I312" s="6">
        <v>812</v>
      </c>
      <c r="J312" s="8">
        <v>0</v>
      </c>
      <c r="K312" s="6">
        <f t="shared" ref="K312:K323" si="27">H312+I312-J312</f>
        <v>1460</v>
      </c>
      <c r="L312" s="9"/>
      <c r="M312" s="5">
        <v>1136</v>
      </c>
      <c r="N312" s="6">
        <v>10377</v>
      </c>
      <c r="R312" s="1"/>
    </row>
    <row r="313" spans="1:18" outlineLevel="1" x14ac:dyDescent="0.2">
      <c r="A313" s="20" t="s">
        <v>13</v>
      </c>
      <c r="B313" s="44">
        <v>2022</v>
      </c>
      <c r="C313" s="26">
        <f>1938+410+245349</f>
        <v>247697</v>
      </c>
      <c r="D313" s="36">
        <f>132+37+17059</f>
        <v>17228</v>
      </c>
      <c r="E313" s="45">
        <f t="shared" ref="E313:E323" si="28">+D313/C313</f>
        <v>6.9552719653447559E-2</v>
      </c>
      <c r="F313" s="10"/>
      <c r="G313" s="35">
        <v>59000</v>
      </c>
      <c r="H313" s="36">
        <v>475</v>
      </c>
      <c r="I313" s="36">
        <v>583</v>
      </c>
      <c r="J313" s="23">
        <v>0</v>
      </c>
      <c r="K313" s="36">
        <f t="shared" si="27"/>
        <v>1058</v>
      </c>
      <c r="L313" s="10"/>
      <c r="M313" s="35">
        <v>791</v>
      </c>
      <c r="N313" s="36">
        <v>7304</v>
      </c>
      <c r="R313" s="1"/>
    </row>
    <row r="314" spans="1:18" outlineLevel="1" x14ac:dyDescent="0.2">
      <c r="A314" s="94" t="s">
        <v>14</v>
      </c>
      <c r="B314" s="3">
        <v>2022</v>
      </c>
      <c r="C314" s="4">
        <f>355+1797+284132</f>
        <v>286284</v>
      </c>
      <c r="D314" s="6">
        <f>33+162+19058</f>
        <v>19253</v>
      </c>
      <c r="E314" s="7">
        <f t="shared" si="28"/>
        <v>6.7251400706990261E-2</v>
      </c>
      <c r="F314" s="9"/>
      <c r="G314" s="5">
        <v>90000</v>
      </c>
      <c r="H314" s="6">
        <v>648</v>
      </c>
      <c r="I314" s="6">
        <v>812</v>
      </c>
      <c r="J314" s="8">
        <v>0</v>
      </c>
      <c r="K314" s="6">
        <f t="shared" si="27"/>
        <v>1460</v>
      </c>
      <c r="L314" s="9"/>
      <c r="M314" s="5">
        <v>633</v>
      </c>
      <c r="N314" s="6">
        <v>5897</v>
      </c>
      <c r="R314" s="1"/>
    </row>
    <row r="315" spans="1:18" outlineLevel="1" x14ac:dyDescent="0.2">
      <c r="A315" s="20" t="s">
        <v>15</v>
      </c>
      <c r="B315" s="44">
        <v>2022</v>
      </c>
      <c r="C315" s="26">
        <f>318+2597+287761</f>
        <v>290676</v>
      </c>
      <c r="D315" s="36">
        <f>19912.54+207.58+31.1</f>
        <v>20151.22</v>
      </c>
      <c r="E315" s="45">
        <f t="shared" si="28"/>
        <v>6.9325365699266547E-2</v>
      </c>
      <c r="F315" s="10"/>
      <c r="G315" s="35">
        <v>97000</v>
      </c>
      <c r="H315" s="36">
        <v>766</v>
      </c>
      <c r="I315" s="36">
        <v>969</v>
      </c>
      <c r="J315" s="23">
        <v>0</v>
      </c>
      <c r="K315" s="36">
        <f t="shared" si="27"/>
        <v>1735</v>
      </c>
      <c r="L315" s="10"/>
      <c r="M315" s="35">
        <v>85</v>
      </c>
      <c r="N315" s="36">
        <v>1015</v>
      </c>
      <c r="R315" s="1"/>
    </row>
    <row r="316" spans="1:18" outlineLevel="1" x14ac:dyDescent="0.2">
      <c r="A316" s="94" t="s">
        <v>16</v>
      </c>
      <c r="B316" s="3">
        <v>2022</v>
      </c>
      <c r="C316" s="4">
        <f>311+5249+356445</f>
        <v>362005</v>
      </c>
      <c r="D316" s="6">
        <f>32.57+371.29+24807.58</f>
        <v>25211.440000000002</v>
      </c>
      <c r="E316" s="7">
        <f t="shared" si="28"/>
        <v>6.9643899946133347E-2</v>
      </c>
      <c r="F316" s="9"/>
      <c r="G316" s="5">
        <v>198000</v>
      </c>
      <c r="H316" s="6">
        <v>1446</v>
      </c>
      <c r="I316" s="6">
        <v>1859</v>
      </c>
      <c r="J316" s="8">
        <v>0</v>
      </c>
      <c r="K316" s="6">
        <f t="shared" si="27"/>
        <v>3305</v>
      </c>
      <c r="L316" s="9"/>
      <c r="M316" s="5">
        <v>56</v>
      </c>
      <c r="N316" s="6">
        <v>757</v>
      </c>
      <c r="R316" s="1"/>
    </row>
    <row r="317" spans="1:18" outlineLevel="1" x14ac:dyDescent="0.2">
      <c r="A317" s="20" t="s">
        <v>17</v>
      </c>
      <c r="B317" s="44">
        <v>2022</v>
      </c>
      <c r="C317" s="26">
        <f>304+5743+331605</f>
        <v>337652</v>
      </c>
      <c r="D317" s="36">
        <f>29.9+367.33+21383.85</f>
        <v>21781.079999999998</v>
      </c>
      <c r="E317" s="45">
        <f t="shared" si="28"/>
        <v>6.4507481075189832E-2</v>
      </c>
      <c r="F317" s="10"/>
      <c r="G317" s="35">
        <v>303000</v>
      </c>
      <c r="H317" s="36">
        <v>2128</v>
      </c>
      <c r="I317" s="36">
        <v>2752</v>
      </c>
      <c r="J317" s="23">
        <v>0</v>
      </c>
      <c r="K317" s="36">
        <f t="shared" si="27"/>
        <v>4880</v>
      </c>
      <c r="L317" s="10"/>
      <c r="M317" s="35">
        <v>19</v>
      </c>
      <c r="N317" s="36">
        <v>473</v>
      </c>
      <c r="R317" s="1"/>
    </row>
    <row r="318" spans="1:18" outlineLevel="1" x14ac:dyDescent="0.2">
      <c r="A318" s="94" t="s">
        <v>18</v>
      </c>
      <c r="B318" s="3">
        <v>2022</v>
      </c>
      <c r="C318" s="4">
        <f>335+6434+334394</f>
        <v>341163</v>
      </c>
      <c r="D318" s="6">
        <f>33.85+434.93+24643.78</f>
        <v>25112.559999999998</v>
      </c>
      <c r="E318" s="7">
        <f t="shared" si="28"/>
        <v>7.3608685584310135E-2</v>
      </c>
      <c r="F318" s="9"/>
      <c r="G318" s="5">
        <v>399000</v>
      </c>
      <c r="H318" s="6">
        <v>2752</v>
      </c>
      <c r="I318" s="6">
        <v>3568</v>
      </c>
      <c r="J318" s="8">
        <v>0</v>
      </c>
      <c r="K318" s="6">
        <f t="shared" si="27"/>
        <v>6320</v>
      </c>
      <c r="L318" s="9"/>
      <c r="M318" s="5">
        <v>18</v>
      </c>
      <c r="N318" s="6">
        <v>541</v>
      </c>
      <c r="R318" s="1"/>
    </row>
    <row r="319" spans="1:18" outlineLevel="1" x14ac:dyDescent="0.2">
      <c r="A319" s="20" t="s">
        <v>19</v>
      </c>
      <c r="B319" s="44">
        <v>2022</v>
      </c>
      <c r="C319" s="26">
        <f>4857+306+361793</f>
        <v>366956</v>
      </c>
      <c r="D319" s="36">
        <f>362+30+24705</f>
        <v>25097</v>
      </c>
      <c r="E319" s="45">
        <f t="shared" si="28"/>
        <v>6.839239581857226E-2</v>
      </c>
      <c r="F319" s="10"/>
      <c r="G319" s="35">
        <v>393000</v>
      </c>
      <c r="H319" s="36">
        <v>2713</v>
      </c>
      <c r="I319" s="36">
        <v>3517</v>
      </c>
      <c r="J319" s="23">
        <v>0</v>
      </c>
      <c r="K319" s="36">
        <f t="shared" si="27"/>
        <v>6230</v>
      </c>
      <c r="L319" s="10"/>
      <c r="M319" s="35">
        <v>23</v>
      </c>
      <c r="N319" s="36">
        <v>605</v>
      </c>
      <c r="R319" s="1"/>
    </row>
    <row r="320" spans="1:18" outlineLevel="1" x14ac:dyDescent="0.2">
      <c r="A320" s="94" t="s">
        <v>20</v>
      </c>
      <c r="B320" s="3">
        <v>2022</v>
      </c>
      <c r="C320" s="4">
        <f>1735+3757+298545</f>
        <v>304037</v>
      </c>
      <c r="D320" s="6">
        <f>141+320+20491</f>
        <v>20952</v>
      </c>
      <c r="E320" s="7">
        <f t="shared" si="28"/>
        <v>6.8912665234823395E-2</v>
      </c>
      <c r="F320" s="9"/>
      <c r="G320" s="5">
        <v>339000</v>
      </c>
      <c r="H320" s="6">
        <v>1963</v>
      </c>
      <c r="I320" s="6">
        <v>3457</v>
      </c>
      <c r="J320" s="8">
        <v>0</v>
      </c>
      <c r="K320" s="6">
        <v>5420</v>
      </c>
      <c r="L320" s="9"/>
      <c r="M320" s="5">
        <v>20</v>
      </c>
      <c r="N320" s="6">
        <v>566</v>
      </c>
      <c r="R320" s="1"/>
    </row>
    <row r="321" spans="1:18" outlineLevel="1" x14ac:dyDescent="0.2">
      <c r="A321" s="20" t="s">
        <v>21</v>
      </c>
      <c r="B321" s="44">
        <v>2022</v>
      </c>
      <c r="C321" s="26">
        <f>1186+2650+289858</f>
        <v>293694</v>
      </c>
      <c r="D321" s="36">
        <f>100+292+19814</f>
        <v>20206</v>
      </c>
      <c r="E321" s="45">
        <f t="shared" si="28"/>
        <v>6.8799498798068737E-2</v>
      </c>
      <c r="F321" s="10"/>
      <c r="G321" s="35">
        <v>263000</v>
      </c>
      <c r="H321" s="36">
        <v>1869</v>
      </c>
      <c r="I321" s="36">
        <v>2411</v>
      </c>
      <c r="J321" s="23">
        <v>0</v>
      </c>
      <c r="K321" s="36">
        <f t="shared" si="27"/>
        <v>4280</v>
      </c>
      <c r="L321" s="10"/>
      <c r="M321" s="35">
        <v>200</v>
      </c>
      <c r="N321" s="36">
        <v>2926</v>
      </c>
      <c r="R321" s="1"/>
    </row>
    <row r="322" spans="1:18" outlineLevel="1" x14ac:dyDescent="0.2">
      <c r="A322" s="94" t="s">
        <v>22</v>
      </c>
      <c r="B322" s="3">
        <v>2022</v>
      </c>
      <c r="C322" s="4">
        <f>6342+381+332596</f>
        <v>339319</v>
      </c>
      <c r="D322" s="6">
        <f>461+36+21475</f>
        <v>21972</v>
      </c>
      <c r="E322" s="7">
        <f t="shared" si="28"/>
        <v>6.4753226315060461E-2</v>
      </c>
      <c r="F322" s="9"/>
      <c r="G322" s="5">
        <v>330000</v>
      </c>
      <c r="H322" s="6">
        <v>2303</v>
      </c>
      <c r="I322" s="6">
        <v>2982</v>
      </c>
      <c r="J322" s="8">
        <v>0</v>
      </c>
      <c r="K322" s="6">
        <f t="shared" si="27"/>
        <v>5285</v>
      </c>
      <c r="L322" s="9"/>
      <c r="M322" s="5">
        <v>692</v>
      </c>
      <c r="N322" s="6">
        <v>9380</v>
      </c>
      <c r="R322" s="1"/>
    </row>
    <row r="323" spans="1:18" outlineLevel="1" x14ac:dyDescent="0.2">
      <c r="A323" s="95" t="s">
        <v>23</v>
      </c>
      <c r="B323" s="37">
        <v>2022</v>
      </c>
      <c r="C323" s="38">
        <f>9111+323672+407</f>
        <v>333190</v>
      </c>
      <c r="D323" s="39">
        <f>602+20983+38</f>
        <v>21623</v>
      </c>
      <c r="E323" s="40">
        <f t="shared" si="28"/>
        <v>6.4896905669437857E-2</v>
      </c>
      <c r="F323" s="20"/>
      <c r="G323" s="41">
        <v>127000</v>
      </c>
      <c r="H323" s="39">
        <v>986</v>
      </c>
      <c r="I323" s="39">
        <v>1254</v>
      </c>
      <c r="J323" s="42">
        <v>0</v>
      </c>
      <c r="K323" s="39">
        <f t="shared" si="27"/>
        <v>2240</v>
      </c>
      <c r="L323" s="20"/>
      <c r="M323" s="41">
        <v>759</v>
      </c>
      <c r="N323" s="39">
        <v>10272</v>
      </c>
      <c r="R323" s="1"/>
    </row>
    <row r="324" spans="1:18" x14ac:dyDescent="0.2">
      <c r="A324" s="10"/>
      <c r="B324" s="10"/>
      <c r="C324" s="17">
        <f>SUM(C312:C323)</f>
        <v>3785625</v>
      </c>
      <c r="D324" s="18">
        <f>SUM(D312:D323)</f>
        <v>256497.3</v>
      </c>
      <c r="E324" s="19">
        <f>+D324/C324</f>
        <v>6.775560178306092E-2</v>
      </c>
      <c r="F324" s="20"/>
      <c r="G324" s="21">
        <f>SUM(G312:G323)</f>
        <v>2688000</v>
      </c>
      <c r="H324" s="22">
        <f>SUM(H312:H323)</f>
        <v>18697</v>
      </c>
      <c r="I324" s="22">
        <f>SUM(I312:I323)</f>
        <v>24976</v>
      </c>
      <c r="J324" s="23">
        <f>SUM(J312:J323)</f>
        <v>0</v>
      </c>
      <c r="K324" s="18">
        <f>SUM(K312:K323)</f>
        <v>43673</v>
      </c>
      <c r="L324" s="24"/>
      <c r="M324" s="25">
        <f>SUM(M312:M323)</f>
        <v>4432</v>
      </c>
      <c r="N324" s="18">
        <f>SUM(N312:N323)</f>
        <v>50113</v>
      </c>
      <c r="R324" s="1"/>
    </row>
    <row r="325" spans="1:18" x14ac:dyDescent="0.2">
      <c r="A325" s="10"/>
      <c r="B325" s="10"/>
      <c r="C325" s="17"/>
      <c r="D325" s="18"/>
      <c r="E325" s="19"/>
      <c r="F325" s="20"/>
      <c r="G325" s="21"/>
      <c r="H325" s="22"/>
      <c r="I325" s="22"/>
      <c r="J325" s="23"/>
      <c r="K325" s="18"/>
      <c r="L325" s="24"/>
      <c r="M325" s="25"/>
      <c r="N325" s="18"/>
    </row>
    <row r="326" spans="1:18" x14ac:dyDescent="0.2">
      <c r="A326" s="10"/>
      <c r="B326" s="10"/>
      <c r="C326" s="17"/>
      <c r="D326" s="18"/>
      <c r="E326" s="19"/>
      <c r="F326" s="20"/>
      <c r="G326" s="21"/>
      <c r="H326" s="22"/>
      <c r="I326" s="22"/>
      <c r="J326" s="23"/>
      <c r="K326" s="18"/>
      <c r="L326" s="24"/>
      <c r="M326" s="25"/>
      <c r="N326" s="18"/>
    </row>
    <row r="327" spans="1:18" x14ac:dyDescent="0.2">
      <c r="A327" s="10"/>
      <c r="B327" s="10"/>
      <c r="C327" s="26"/>
      <c r="D327" s="27"/>
      <c r="E327" s="28"/>
      <c r="F327" s="28"/>
      <c r="G327" s="26"/>
      <c r="H327" s="27"/>
      <c r="I327" s="27"/>
      <c r="J327" s="29"/>
      <c r="K327" s="27"/>
      <c r="L327" s="10"/>
      <c r="M327" s="26"/>
      <c r="N327" s="27"/>
    </row>
    <row r="328" spans="1:18" x14ac:dyDescent="0.2">
      <c r="A328" s="11">
        <v>2023</v>
      </c>
      <c r="B328" s="10"/>
      <c r="C328" s="10"/>
      <c r="D328" s="10"/>
      <c r="E328" s="10"/>
      <c r="F328" s="10"/>
      <c r="G328" s="10"/>
      <c r="H328" s="12" t="s">
        <v>0</v>
      </c>
      <c r="I328" s="12" t="s">
        <v>1</v>
      </c>
      <c r="J328" s="10"/>
      <c r="K328" s="10"/>
      <c r="L328" s="10"/>
      <c r="M328" s="12" t="s">
        <v>2</v>
      </c>
      <c r="N328" s="10"/>
    </row>
    <row r="329" spans="1:18" x14ac:dyDescent="0.2">
      <c r="A329" s="13" t="s">
        <v>3</v>
      </c>
      <c r="B329" s="14" t="s">
        <v>4</v>
      </c>
      <c r="C329" s="14" t="s">
        <v>24</v>
      </c>
      <c r="D329" s="14" t="s">
        <v>6</v>
      </c>
      <c r="E329" s="15" t="s">
        <v>7</v>
      </c>
      <c r="F329" s="10"/>
      <c r="G329" s="16" t="s">
        <v>8</v>
      </c>
      <c r="H329" s="14" t="s">
        <v>6</v>
      </c>
      <c r="I329" s="14" t="s">
        <v>6</v>
      </c>
      <c r="J329" s="14" t="s">
        <v>9</v>
      </c>
      <c r="K329" s="14" t="s">
        <v>10</v>
      </c>
      <c r="L329" s="10"/>
      <c r="M329" s="14" t="s">
        <v>11</v>
      </c>
      <c r="N329" s="14" t="s">
        <v>6</v>
      </c>
    </row>
    <row r="330" spans="1:18" outlineLevel="1" x14ac:dyDescent="0.2">
      <c r="A330" s="94" t="s">
        <v>12</v>
      </c>
      <c r="B330" s="3">
        <v>2023</v>
      </c>
      <c r="C330" s="4">
        <f>384+4471+285188</f>
        <v>290043</v>
      </c>
      <c r="D330" s="6">
        <f>46.51+485.45+27245.97</f>
        <v>27777.93</v>
      </c>
      <c r="E330" s="7">
        <f>+D330/C330</f>
        <v>9.5771764876242491E-2</v>
      </c>
      <c r="F330" s="9"/>
      <c r="G330" s="5">
        <v>60000</v>
      </c>
      <c r="H330" s="6">
        <f>161.87+389.4</f>
        <v>551.27</v>
      </c>
      <c r="I330" s="6">
        <f>173.6+173.26</f>
        <v>346.86</v>
      </c>
      <c r="J330" s="8">
        <v>0</v>
      </c>
      <c r="K330" s="6">
        <f t="shared" ref="K330:K341" si="29">H330+I330-J330</f>
        <v>898.13</v>
      </c>
      <c r="L330" s="9"/>
      <c r="M330" s="5">
        <v>762</v>
      </c>
      <c r="N330" s="6">
        <v>6654</v>
      </c>
    </row>
    <row r="331" spans="1:18" outlineLevel="1" x14ac:dyDescent="0.2">
      <c r="A331" s="20" t="s">
        <v>13</v>
      </c>
      <c r="B331" s="44">
        <v>2023</v>
      </c>
      <c r="C331" s="26">
        <f>276862+6463+332</f>
        <v>283657</v>
      </c>
      <c r="D331" s="36">
        <f>27108.09+614.53+40.1</f>
        <v>27762.719999999998</v>
      </c>
      <c r="E331" s="45">
        <f t="shared" ref="E331:E341" si="30">+D331/C331</f>
        <v>9.7874263635306019E-2</v>
      </c>
      <c r="F331" s="10"/>
      <c r="G331" s="35">
        <v>56000</v>
      </c>
      <c r="H331" s="36">
        <f>363.65+161.46</f>
        <v>525.11</v>
      </c>
      <c r="I331" s="36">
        <f>173.26+476.56</f>
        <v>649.81999999999994</v>
      </c>
      <c r="J331" s="23">
        <v>0</v>
      </c>
      <c r="K331" s="36">
        <f t="shared" si="29"/>
        <v>1174.9299999999998</v>
      </c>
      <c r="L331" s="10"/>
      <c r="M331" s="35">
        <v>572</v>
      </c>
      <c r="N331" s="36">
        <v>5075.1099999999997</v>
      </c>
    </row>
    <row r="332" spans="1:18" outlineLevel="1" x14ac:dyDescent="0.2">
      <c r="A332" s="94" t="s">
        <v>14</v>
      </c>
      <c r="B332" s="3">
        <v>2023</v>
      </c>
      <c r="C332" s="4">
        <f>335+2029+312487</f>
        <v>314851</v>
      </c>
      <c r="D332" s="6">
        <f>40.55+304.6+29362.3</f>
        <v>29707.45</v>
      </c>
      <c r="E332" s="7">
        <f t="shared" si="30"/>
        <v>9.4353996017163683E-2</v>
      </c>
      <c r="F332" s="9"/>
      <c r="G332" s="5">
        <v>111000</v>
      </c>
      <c r="H332" s="6">
        <f>720.5+161.46</f>
        <v>881.96</v>
      </c>
      <c r="I332" s="6">
        <f>944.61+173.26</f>
        <v>1117.8699999999999</v>
      </c>
      <c r="J332" s="8">
        <v>0</v>
      </c>
      <c r="K332" s="6">
        <f t="shared" si="29"/>
        <v>1999.83</v>
      </c>
      <c r="L332" s="9"/>
      <c r="M332" s="5">
        <v>364</v>
      </c>
      <c r="N332" s="6">
        <v>3345.17</v>
      </c>
    </row>
    <row r="333" spans="1:18" outlineLevel="1" x14ac:dyDescent="0.2">
      <c r="A333" s="20" t="s">
        <v>15</v>
      </c>
      <c r="B333" s="44">
        <v>2023</v>
      </c>
      <c r="C333" s="26">
        <f>1954+322+267944</f>
        <v>270220</v>
      </c>
      <c r="D333" s="36">
        <f>264.13+39.56+26499.77</f>
        <v>26803.46</v>
      </c>
      <c r="E333" s="45">
        <f t="shared" si="30"/>
        <v>9.919125157279253E-2</v>
      </c>
      <c r="F333" s="10"/>
      <c r="G333" s="35">
        <v>173000</v>
      </c>
      <c r="H333" s="36">
        <f>1260.36+178.78</f>
        <v>1439.1399999999999</v>
      </c>
      <c r="I333" s="36">
        <f>173.26+1617.75</f>
        <v>1791.01</v>
      </c>
      <c r="J333" s="23">
        <f>629.24+357.42+845.68</f>
        <v>1832.3400000000001</v>
      </c>
      <c r="K333" s="36">
        <f t="shared" si="29"/>
        <v>1397.8099999999995</v>
      </c>
      <c r="L333" s="10"/>
      <c r="M333" s="35">
        <v>309</v>
      </c>
      <c r="N333" s="36">
        <v>2887.28</v>
      </c>
    </row>
    <row r="334" spans="1:18" outlineLevel="1" x14ac:dyDescent="0.2">
      <c r="A334" s="94" t="s">
        <v>16</v>
      </c>
      <c r="B334" s="3">
        <v>2023</v>
      </c>
      <c r="C334" s="4">
        <f>274544+332+3845</f>
        <v>278721</v>
      </c>
      <c r="D334" s="6">
        <f>27304.55+40.7+405.86</f>
        <v>27751.11</v>
      </c>
      <c r="E334" s="7">
        <f t="shared" si="30"/>
        <v>9.9565909996017526E-2</v>
      </c>
      <c r="F334" s="9"/>
      <c r="G334" s="5">
        <v>189000</v>
      </c>
      <c r="H334" s="6">
        <f>1423.17+184.11</f>
        <v>1607.2800000000002</v>
      </c>
      <c r="I334" s="6">
        <f>173.26+1816.29</f>
        <v>1989.55</v>
      </c>
      <c r="J334" s="8">
        <v>0</v>
      </c>
      <c r="K334" s="6">
        <f t="shared" si="29"/>
        <v>3596.83</v>
      </c>
      <c r="L334" s="9"/>
      <c r="M334" s="5">
        <v>205</v>
      </c>
      <c r="N334" s="6">
        <v>2021.36</v>
      </c>
    </row>
    <row r="335" spans="1:18" outlineLevel="1" x14ac:dyDescent="0.2">
      <c r="A335" s="20" t="s">
        <v>17</v>
      </c>
      <c r="B335" s="44">
        <v>2023</v>
      </c>
      <c r="C335" s="26">
        <f>7020+343+270854</f>
        <v>278217</v>
      </c>
      <c r="D335" s="36">
        <f>647.83+42.23+26921.5</f>
        <v>27611.56</v>
      </c>
      <c r="E335" s="45">
        <f t="shared" si="30"/>
        <v>9.9244690295704444E-2</v>
      </c>
      <c r="F335" s="10"/>
      <c r="G335" s="35">
        <v>286000</v>
      </c>
      <c r="H335" s="36">
        <f>184.11+2153.58</f>
        <v>2337.69</v>
      </c>
      <c r="I335" s="36">
        <f>255.59+2748.46</f>
        <v>3004.05</v>
      </c>
      <c r="J335" s="23">
        <v>970.61</v>
      </c>
      <c r="K335" s="36">
        <f t="shared" si="29"/>
        <v>4371.13</v>
      </c>
      <c r="L335" s="10"/>
      <c r="M335" s="35">
        <v>1364</v>
      </c>
      <c r="N335" s="36">
        <v>11765.53</v>
      </c>
    </row>
    <row r="336" spans="1:18" outlineLevel="1" x14ac:dyDescent="0.2">
      <c r="A336" s="94" t="s">
        <v>18</v>
      </c>
      <c r="B336" s="3">
        <v>2023</v>
      </c>
      <c r="C336" s="4">
        <f>310+7112+303229</f>
        <v>310651</v>
      </c>
      <c r="D336" s="6">
        <f>39.88+713.78+30258.03</f>
        <v>31011.69</v>
      </c>
      <c r="E336" s="7">
        <f t="shared" si="30"/>
        <v>9.982807072888869E-2</v>
      </c>
      <c r="F336" s="9"/>
      <c r="G336" s="5">
        <v>460000</v>
      </c>
      <c r="H336" s="6">
        <f>3463.8+184.11</f>
        <v>3647.9100000000003</v>
      </c>
      <c r="I336" s="6">
        <f>4420.6+255.59</f>
        <v>4676.1900000000005</v>
      </c>
      <c r="J336" s="8">
        <v>1508.77</v>
      </c>
      <c r="K336" s="6">
        <f t="shared" si="29"/>
        <v>6815.33</v>
      </c>
      <c r="L336" s="9"/>
      <c r="M336" s="5">
        <v>1037</v>
      </c>
      <c r="N336" s="6">
        <v>8485.9500000000007</v>
      </c>
    </row>
    <row r="337" spans="1:14" outlineLevel="1" x14ac:dyDescent="0.2">
      <c r="A337" s="20" t="s">
        <v>19</v>
      </c>
      <c r="B337" s="44">
        <v>2023</v>
      </c>
      <c r="C337" s="26">
        <f>301+8295+326118</f>
        <v>334714</v>
      </c>
      <c r="D337" s="36">
        <f>42.93+956.59+35866.18</f>
        <v>36865.699999999997</v>
      </c>
      <c r="E337" s="45">
        <f t="shared" si="30"/>
        <v>0.11014089640708186</v>
      </c>
      <c r="F337" s="10"/>
      <c r="G337" s="35">
        <v>559000</v>
      </c>
      <c r="H337" s="36">
        <f>184.11+4209.27</f>
        <v>4393.38</v>
      </c>
      <c r="I337" s="36">
        <f>255.59+5371.99</f>
        <v>5627.58</v>
      </c>
      <c r="J337" s="23">
        <v>0</v>
      </c>
      <c r="K337" s="36">
        <f t="shared" si="29"/>
        <v>10020.959999999999</v>
      </c>
      <c r="L337" s="10"/>
      <c r="M337" s="35">
        <v>18</v>
      </c>
      <c r="N337" s="36">
        <v>524.49</v>
      </c>
    </row>
    <row r="338" spans="1:14" outlineLevel="1" x14ac:dyDescent="0.2">
      <c r="A338" s="94" t="s">
        <v>20</v>
      </c>
      <c r="B338" s="3">
        <v>2023</v>
      </c>
      <c r="C338" s="4">
        <v>329630</v>
      </c>
      <c r="D338" s="6">
        <v>32269</v>
      </c>
      <c r="E338" s="7">
        <f t="shared" si="30"/>
        <v>9.7894609107180772E-2</v>
      </c>
      <c r="F338" s="9"/>
      <c r="G338" s="5">
        <v>540000</v>
      </c>
      <c r="H338" s="6">
        <v>4250</v>
      </c>
      <c r="I338" s="6">
        <v>5445</v>
      </c>
      <c r="J338" s="8">
        <v>2700</v>
      </c>
      <c r="K338" s="6">
        <f t="shared" si="29"/>
        <v>6995</v>
      </c>
      <c r="L338" s="9"/>
      <c r="M338" s="5">
        <v>48</v>
      </c>
      <c r="N338" s="6">
        <v>813</v>
      </c>
    </row>
    <row r="339" spans="1:14" outlineLevel="1" x14ac:dyDescent="0.2">
      <c r="A339" s="20" t="s">
        <v>21</v>
      </c>
      <c r="B339" s="44">
        <v>2023</v>
      </c>
      <c r="C339" s="26">
        <v>317940</v>
      </c>
      <c r="D339" s="36">
        <v>30364</v>
      </c>
      <c r="E339" s="45">
        <f t="shared" si="30"/>
        <v>9.5502296030697612E-2</v>
      </c>
      <c r="F339" s="10"/>
      <c r="G339" s="35">
        <v>379000</v>
      </c>
      <c r="H339" s="36">
        <v>3038</v>
      </c>
      <c r="I339" s="36">
        <v>3898</v>
      </c>
      <c r="J339" s="23">
        <v>0</v>
      </c>
      <c r="K339" s="36">
        <f t="shared" si="29"/>
        <v>6936</v>
      </c>
      <c r="L339" s="10"/>
      <c r="M339" s="35">
        <v>195</v>
      </c>
      <c r="N339" s="36">
        <v>2125</v>
      </c>
    </row>
    <row r="340" spans="1:14" outlineLevel="1" x14ac:dyDescent="0.2">
      <c r="A340" s="94" t="s">
        <v>22</v>
      </c>
      <c r="B340" s="3">
        <v>2023</v>
      </c>
      <c r="C340" s="4">
        <v>302940</v>
      </c>
      <c r="D340" s="6">
        <v>29275</v>
      </c>
      <c r="E340" s="7">
        <f t="shared" si="30"/>
        <v>9.6636297616689779E-2</v>
      </c>
      <c r="F340" s="9"/>
      <c r="G340" s="5">
        <v>315000</v>
      </c>
      <c r="H340" s="6">
        <v>2556</v>
      </c>
      <c r="I340" s="6">
        <v>3283</v>
      </c>
      <c r="J340" s="8">
        <v>0</v>
      </c>
      <c r="K340" s="6">
        <f t="shared" si="29"/>
        <v>5839</v>
      </c>
      <c r="L340" s="9"/>
      <c r="M340" s="5">
        <v>551</v>
      </c>
      <c r="N340" s="6">
        <v>5301</v>
      </c>
    </row>
    <row r="341" spans="1:14" outlineLevel="1" x14ac:dyDescent="0.2">
      <c r="A341" s="95" t="s">
        <v>23</v>
      </c>
      <c r="B341" s="37">
        <v>2023</v>
      </c>
      <c r="C341" s="38">
        <f>453+14922+288406</f>
        <v>303781</v>
      </c>
      <c r="D341" s="39">
        <f>54.33+1285.9+27333.65</f>
        <v>28673.88</v>
      </c>
      <c r="E341" s="40">
        <f t="shared" si="30"/>
        <v>9.4389971723050484E-2</v>
      </c>
      <c r="F341" s="20"/>
      <c r="G341" s="41">
        <v>84000</v>
      </c>
      <c r="H341" s="39">
        <f>184.24+632.52</f>
        <v>816.76</v>
      </c>
      <c r="I341" s="39">
        <f>255.59+807.24</f>
        <v>1062.83</v>
      </c>
      <c r="J341" s="42">
        <v>0</v>
      </c>
      <c r="K341" s="39">
        <f t="shared" si="29"/>
        <v>1879.59</v>
      </c>
      <c r="L341" s="20"/>
      <c r="M341" s="41">
        <v>730</v>
      </c>
      <c r="N341" s="39">
        <v>6893.03</v>
      </c>
    </row>
    <row r="342" spans="1:14" x14ac:dyDescent="0.2">
      <c r="A342" s="10"/>
      <c r="B342" s="10"/>
      <c r="C342" s="17">
        <f>SUM(C330:C341)</f>
        <v>3615365</v>
      </c>
      <c r="D342" s="18">
        <f>SUM(D330:D341)</f>
        <v>355873.5</v>
      </c>
      <c r="E342" s="19">
        <f>+D342/C342</f>
        <v>9.8433629799480823E-2</v>
      </c>
      <c r="F342" s="20"/>
      <c r="G342" s="21">
        <f>SUM(G330:G341)</f>
        <v>3212000</v>
      </c>
      <c r="H342" s="22">
        <f>SUM(H330:H341)</f>
        <v>26044.5</v>
      </c>
      <c r="I342" s="22">
        <f>SUM(I330:I341)</f>
        <v>32891.760000000002</v>
      </c>
      <c r="J342" s="23">
        <f>SUM(J330:J341)</f>
        <v>7011.72</v>
      </c>
      <c r="K342" s="18">
        <f>SUM(K330:K341)</f>
        <v>51924.539999999994</v>
      </c>
      <c r="L342" s="24"/>
      <c r="M342" s="25">
        <f>SUM(M330:M341)</f>
        <v>6155</v>
      </c>
      <c r="N342" s="18">
        <f>SUM(N330:N341)</f>
        <v>55890.920000000006</v>
      </c>
    </row>
    <row r="343" spans="1:14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1:14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1:14" x14ac:dyDescent="0.2">
      <c r="A345" s="10"/>
      <c r="B345" s="10"/>
      <c r="C345" s="10"/>
      <c r="D345" s="10"/>
      <c r="E345" s="10"/>
      <c r="F345" s="10"/>
      <c r="G345" s="10"/>
      <c r="H345" s="20"/>
      <c r="I345" s="20"/>
      <c r="J345" s="10"/>
      <c r="K345" s="10"/>
      <c r="L345" s="10"/>
      <c r="M345" s="10"/>
      <c r="N345" s="10"/>
    </row>
    <row r="346" spans="1:14" x14ac:dyDescent="0.2">
      <c r="A346" s="11">
        <v>2024</v>
      </c>
      <c r="B346" s="10"/>
      <c r="C346" s="10"/>
      <c r="D346" s="10"/>
      <c r="E346" s="10"/>
      <c r="F346" s="10"/>
      <c r="G346" s="10"/>
      <c r="H346" s="12" t="s">
        <v>0</v>
      </c>
      <c r="I346" s="12" t="s">
        <v>1</v>
      </c>
      <c r="J346" s="10"/>
      <c r="K346" s="10"/>
      <c r="L346" s="10"/>
      <c r="M346" s="12" t="s">
        <v>2</v>
      </c>
      <c r="N346" s="10"/>
    </row>
    <row r="347" spans="1:14" x14ac:dyDescent="0.2">
      <c r="A347" s="95" t="s">
        <v>3</v>
      </c>
      <c r="B347" s="14" t="s">
        <v>4</v>
      </c>
      <c r="C347" s="14" t="s">
        <v>24</v>
      </c>
      <c r="D347" s="14" t="s">
        <v>6</v>
      </c>
      <c r="E347" s="37" t="s">
        <v>7</v>
      </c>
      <c r="F347" s="10"/>
      <c r="G347" s="16" t="s">
        <v>8</v>
      </c>
      <c r="H347" s="14" t="s">
        <v>6</v>
      </c>
      <c r="I347" s="14" t="s">
        <v>27</v>
      </c>
      <c r="J347" s="14" t="s">
        <v>9</v>
      </c>
      <c r="K347" s="14" t="s">
        <v>10</v>
      </c>
      <c r="L347" s="10"/>
      <c r="M347" s="14" t="s">
        <v>11</v>
      </c>
      <c r="N347" s="14" t="s">
        <v>6</v>
      </c>
    </row>
    <row r="348" spans="1:14" outlineLevel="1" x14ac:dyDescent="0.2">
      <c r="A348" s="94" t="s">
        <v>12</v>
      </c>
      <c r="B348" s="54">
        <v>2024</v>
      </c>
      <c r="C348" s="55">
        <f>445+10195+256676</f>
        <v>267316</v>
      </c>
      <c r="D348" s="56">
        <f>53.69+934.56+23105.98</f>
        <v>24094.23</v>
      </c>
      <c r="E348" s="57">
        <f>+D348/C348</f>
        <v>9.0133886486405607E-2</v>
      </c>
      <c r="F348" s="10"/>
      <c r="G348" s="63">
        <v>78000</v>
      </c>
      <c r="H348" s="64">
        <f>184.11+587.34</f>
        <v>771.45</v>
      </c>
      <c r="I348" s="64">
        <f>255.59+749.58</f>
        <v>1005.1700000000001</v>
      </c>
      <c r="J348" s="65">
        <v>0</v>
      </c>
      <c r="K348" s="64">
        <f t="shared" ref="K348:K359" si="31">H348+I348-J348</f>
        <v>1776.6200000000001</v>
      </c>
      <c r="L348" s="10"/>
      <c r="M348" s="63">
        <v>1122</v>
      </c>
      <c r="N348" s="64">
        <v>9839.2199999999993</v>
      </c>
    </row>
    <row r="349" spans="1:14" outlineLevel="1" x14ac:dyDescent="0.2">
      <c r="A349" s="20" t="s">
        <v>13</v>
      </c>
      <c r="B349" s="54">
        <v>2024</v>
      </c>
      <c r="C349" s="55">
        <f>421+4947+276606</f>
        <v>281974</v>
      </c>
      <c r="D349" s="56">
        <f>51.47+534.78+25182.56</f>
        <v>25768.81</v>
      </c>
      <c r="E349" s="57">
        <f t="shared" ref="E349:E359" si="32">+D349/C349</f>
        <v>9.1387184634044272E-2</v>
      </c>
      <c r="F349" s="10"/>
      <c r="G349" s="63">
        <v>103000</v>
      </c>
      <c r="H349" s="64">
        <f>184.11+775.59</f>
        <v>959.7</v>
      </c>
      <c r="I349" s="64">
        <f>255.59+989.83</f>
        <v>1245.42</v>
      </c>
      <c r="J349" s="65">
        <v>0</v>
      </c>
      <c r="K349" s="64">
        <f t="shared" si="31"/>
        <v>2205.12</v>
      </c>
      <c r="L349" s="10"/>
      <c r="M349" s="63">
        <v>505</v>
      </c>
      <c r="N349" s="64">
        <v>4640.25</v>
      </c>
    </row>
    <row r="350" spans="1:14" outlineLevel="1" x14ac:dyDescent="0.2">
      <c r="A350" s="94" t="s">
        <v>14</v>
      </c>
      <c r="B350" s="54">
        <v>2024</v>
      </c>
      <c r="C350" s="55">
        <f>3099+869+279165</f>
        <v>283133</v>
      </c>
      <c r="D350" s="56">
        <f>318.28+99.5+25748.79</f>
        <v>26166.57</v>
      </c>
      <c r="E350" s="57">
        <f t="shared" si="32"/>
        <v>9.2417944923410558E-2</v>
      </c>
      <c r="F350" s="10"/>
      <c r="G350" s="63">
        <v>60000</v>
      </c>
      <c r="H350" s="64">
        <f>184.11+451.8</f>
        <v>635.91000000000008</v>
      </c>
      <c r="I350" s="64">
        <f>576.6+255.59</f>
        <v>832.19</v>
      </c>
      <c r="J350" s="65">
        <v>0</v>
      </c>
      <c r="K350" s="64">
        <f t="shared" si="31"/>
        <v>1468.1000000000001</v>
      </c>
      <c r="L350" s="10"/>
      <c r="M350" s="63">
        <v>267</v>
      </c>
      <c r="N350" s="64">
        <v>2634.65</v>
      </c>
    </row>
    <row r="351" spans="1:14" outlineLevel="1" x14ac:dyDescent="0.2">
      <c r="A351" s="20" t="s">
        <v>15</v>
      </c>
      <c r="B351" s="54">
        <v>2024</v>
      </c>
      <c r="C351" s="55">
        <f>2916+2565+285078</f>
        <v>290559</v>
      </c>
      <c r="D351" s="56">
        <f>318.04+318.54+26390.56</f>
        <v>27027.140000000003</v>
      </c>
      <c r="E351" s="57">
        <f t="shared" si="32"/>
        <v>9.3017734780199562E-2</v>
      </c>
      <c r="F351" s="10"/>
      <c r="G351" s="63">
        <v>62000</v>
      </c>
      <c r="H351" s="64">
        <f>188.05+1686.69</f>
        <v>1874.74</v>
      </c>
      <c r="I351" s="64">
        <f>272.21+2169.44</f>
        <v>2441.65</v>
      </c>
      <c r="J351" s="65">
        <v>0</v>
      </c>
      <c r="K351" s="64">
        <f t="shared" si="31"/>
        <v>4316.3900000000003</v>
      </c>
      <c r="L351" s="10"/>
      <c r="M351" s="63">
        <v>99</v>
      </c>
      <c r="N351" s="64">
        <v>1217.7</v>
      </c>
    </row>
    <row r="352" spans="1:14" outlineLevel="1" x14ac:dyDescent="0.2">
      <c r="A352" s="94" t="s">
        <v>16</v>
      </c>
      <c r="B352" s="54">
        <v>2024</v>
      </c>
      <c r="C352" s="55">
        <f>4044+3660+265044</f>
        <v>272748</v>
      </c>
      <c r="D352" s="56">
        <f>499.31+404.51+25639.78</f>
        <v>26543.599999999999</v>
      </c>
      <c r="E352" s="57">
        <f t="shared" si="32"/>
        <v>9.7319137078915333E-2</v>
      </c>
      <c r="F352" s="10"/>
      <c r="G352" s="63">
        <v>421000</v>
      </c>
      <c r="H352" s="64">
        <f>190.83+3422.73</f>
        <v>3613.56</v>
      </c>
      <c r="I352" s="64">
        <f>283.95+4424.71</f>
        <v>4708.66</v>
      </c>
      <c r="J352" s="65">
        <v>0</v>
      </c>
      <c r="K352" s="64">
        <f t="shared" si="31"/>
        <v>8322.2199999999993</v>
      </c>
      <c r="L352" s="10"/>
      <c r="M352" s="63">
        <v>1850</v>
      </c>
      <c r="N352" s="64">
        <v>15959.88</v>
      </c>
    </row>
    <row r="353" spans="1:14" outlineLevel="1" x14ac:dyDescent="0.2">
      <c r="A353" s="20" t="s">
        <v>17</v>
      </c>
      <c r="B353" s="54">
        <v>2024</v>
      </c>
      <c r="C353" s="55">
        <f>4147+5950+332939</f>
        <v>343036</v>
      </c>
      <c r="D353" s="56">
        <f>444.19+639.16+30010.93</f>
        <v>31094.28</v>
      </c>
      <c r="E353" s="57">
        <f t="shared" si="32"/>
        <v>9.0644363856854676E-2</v>
      </c>
      <c r="F353" s="10"/>
      <c r="G353" s="63">
        <v>360000</v>
      </c>
      <c r="H353" s="64">
        <f>2926.8+190.83</f>
        <v>3117.63</v>
      </c>
      <c r="I353" s="64">
        <f>3783.6+283.95</f>
        <v>4067.5499999999997</v>
      </c>
      <c r="J353" s="65">
        <v>0</v>
      </c>
      <c r="K353" s="64">
        <f>H353+I353-J353</f>
        <v>7185.18</v>
      </c>
      <c r="L353" s="10"/>
      <c r="M353" s="63">
        <v>32</v>
      </c>
      <c r="N353" s="64">
        <v>653.20000000000005</v>
      </c>
    </row>
    <row r="354" spans="1:14" outlineLevel="1" x14ac:dyDescent="0.2">
      <c r="A354" s="94" t="s">
        <v>18</v>
      </c>
      <c r="B354" s="54">
        <v>2024</v>
      </c>
      <c r="C354" s="55">
        <f>2458+5056+319505</f>
        <v>327019</v>
      </c>
      <c r="D354" s="56">
        <f>266.68+572.73+28723.71</f>
        <v>29563.119999999999</v>
      </c>
      <c r="E354" s="57">
        <f t="shared" si="32"/>
        <v>9.0401842094801829E-2</v>
      </c>
      <c r="F354" s="10"/>
      <c r="G354" s="63">
        <v>388000</v>
      </c>
      <c r="H354" s="64">
        <f>190.83+3154.44</f>
        <v>3345.27</v>
      </c>
      <c r="I354" s="64">
        <f>283.95+4077.88</f>
        <v>4361.83</v>
      </c>
      <c r="J354" s="65">
        <v>0</v>
      </c>
      <c r="K354" s="64">
        <f t="shared" si="31"/>
        <v>7707.1</v>
      </c>
      <c r="L354" s="10"/>
      <c r="M354" s="63">
        <v>754</v>
      </c>
      <c r="N354" s="64">
        <v>6583.9</v>
      </c>
    </row>
    <row r="355" spans="1:14" outlineLevel="1" x14ac:dyDescent="0.2">
      <c r="A355" s="20" t="s">
        <v>19</v>
      </c>
      <c r="B355" s="54">
        <v>2024</v>
      </c>
      <c r="C355" s="55">
        <f>486+10474+364925</f>
        <v>375885</v>
      </c>
      <c r="D355" s="56">
        <f>59.34+967.83+33033.74</f>
        <v>34060.909999999996</v>
      </c>
      <c r="E355" s="57">
        <f t="shared" si="32"/>
        <v>9.061524136371496E-2</v>
      </c>
      <c r="F355" s="10"/>
      <c r="G355" s="63">
        <v>386000</v>
      </c>
      <c r="H355" s="64">
        <f>190.83+3138.18</f>
        <v>3329.0099999999998</v>
      </c>
      <c r="I355" s="64">
        <f>283.95+4056.86</f>
        <v>4340.8100000000004</v>
      </c>
      <c r="J355" s="65">
        <v>0</v>
      </c>
      <c r="K355" s="64">
        <f>H355+I355-J355</f>
        <v>7669.82</v>
      </c>
      <c r="L355" s="10"/>
      <c r="M355" s="63">
        <v>21</v>
      </c>
      <c r="N355" s="64">
        <v>556.52</v>
      </c>
    </row>
    <row r="356" spans="1:14" outlineLevel="1" x14ac:dyDescent="0.2">
      <c r="A356" s="94" t="s">
        <v>20</v>
      </c>
      <c r="B356" s="54">
        <v>2024</v>
      </c>
      <c r="C356" s="55">
        <f>456+7513+272706</f>
        <v>280675</v>
      </c>
      <c r="D356" s="58">
        <f>55.67+758+28465.41</f>
        <v>29279.079999999998</v>
      </c>
      <c r="E356" s="57">
        <f t="shared" si="32"/>
        <v>0.10431666518215017</v>
      </c>
      <c r="F356" s="10"/>
      <c r="G356" s="63">
        <v>324000</v>
      </c>
      <c r="H356" s="64">
        <f>190.83+2634.12</f>
        <v>2824.95</v>
      </c>
      <c r="I356" s="64">
        <f>283.95+3405.24</f>
        <v>3689.1899999999996</v>
      </c>
      <c r="J356" s="65">
        <v>0</v>
      </c>
      <c r="K356" s="64">
        <f t="shared" si="31"/>
        <v>6514.1399999999994</v>
      </c>
      <c r="L356" s="10"/>
      <c r="M356" s="63">
        <v>85</v>
      </c>
      <c r="N356" s="64">
        <v>1089</v>
      </c>
    </row>
    <row r="357" spans="1:14" outlineLevel="1" x14ac:dyDescent="0.2">
      <c r="A357" s="20" t="s">
        <v>21</v>
      </c>
      <c r="B357" s="54">
        <v>2024</v>
      </c>
      <c r="C357" s="55">
        <f>5570+452+272706</f>
        <v>278728</v>
      </c>
      <c r="D357" s="56">
        <f>610.57+55.34+25012.15</f>
        <v>25678.06</v>
      </c>
      <c r="E357" s="57">
        <f t="shared" si="32"/>
        <v>9.212587181768607E-2</v>
      </c>
      <c r="F357" s="10"/>
      <c r="G357" s="63">
        <v>398000</v>
      </c>
      <c r="H357" s="64">
        <f>3235.74+190.83</f>
        <v>3426.5699999999997</v>
      </c>
      <c r="I357" s="64">
        <f>4182.98+28.95</f>
        <v>4211.9299999999994</v>
      </c>
      <c r="J357" s="65">
        <v>0</v>
      </c>
      <c r="K357" s="64">
        <f t="shared" si="31"/>
        <v>7638.4999999999991</v>
      </c>
      <c r="L357" s="10"/>
      <c r="M357" s="63">
        <v>22</v>
      </c>
      <c r="N357" s="64">
        <v>566.5</v>
      </c>
    </row>
    <row r="358" spans="1:14" outlineLevel="1" x14ac:dyDescent="0.2">
      <c r="A358" s="94" t="s">
        <v>22</v>
      </c>
      <c r="B358" s="54">
        <v>2024</v>
      </c>
      <c r="C358" s="55">
        <f>516+3731+277683</f>
        <v>281930</v>
      </c>
      <c r="D358" s="56">
        <f>62.47+427.99+25401.09</f>
        <v>25891.55</v>
      </c>
      <c r="E358" s="57">
        <f t="shared" si="32"/>
        <v>9.1836803461852232E-2</v>
      </c>
      <c r="F358" s="10"/>
      <c r="G358" s="63">
        <v>399000</v>
      </c>
      <c r="H358" s="64">
        <v>3434.91</v>
      </c>
      <c r="I358" s="64">
        <v>4477.4399999999996</v>
      </c>
      <c r="J358" s="65">
        <v>0</v>
      </c>
      <c r="K358" s="64">
        <f t="shared" si="31"/>
        <v>7912.3499999999995</v>
      </c>
      <c r="L358" s="10"/>
      <c r="M358" s="63">
        <v>262</v>
      </c>
      <c r="N358" s="64">
        <v>2613.89</v>
      </c>
    </row>
    <row r="359" spans="1:14" outlineLevel="1" x14ac:dyDescent="0.2">
      <c r="A359" s="95" t="s">
        <v>23</v>
      </c>
      <c r="B359" s="59">
        <v>2024</v>
      </c>
      <c r="C359" s="60">
        <f>4303+4674+288363</f>
        <v>297340</v>
      </c>
      <c r="D359" s="61">
        <f>461.59+604.3+26088.53</f>
        <v>27154.42</v>
      </c>
      <c r="E359" s="62">
        <f t="shared" si="32"/>
        <v>9.1324477029663009E-2</v>
      </c>
      <c r="F359" s="20"/>
      <c r="G359" s="66">
        <v>388000</v>
      </c>
      <c r="H359" s="67">
        <v>3345.48</v>
      </c>
      <c r="I359" s="67">
        <v>4361.83</v>
      </c>
      <c r="J359" s="68"/>
      <c r="K359" s="67">
        <f t="shared" si="31"/>
        <v>7707.3099999999995</v>
      </c>
      <c r="L359" s="20"/>
      <c r="M359" s="66">
        <v>783</v>
      </c>
      <c r="N359" s="67">
        <v>6985.25</v>
      </c>
    </row>
    <row r="360" spans="1:14" x14ac:dyDescent="0.2">
      <c r="A360" s="10"/>
      <c r="B360" s="10"/>
      <c r="C360" s="46">
        <f>SUM(C348:C359)</f>
        <v>3580343</v>
      </c>
      <c r="D360" s="47">
        <f>SUM(D348:D359)</f>
        <v>332321.76999999996</v>
      </c>
      <c r="E360" s="48">
        <f>+D360/C360</f>
        <v>9.2818417118136431E-2</v>
      </c>
      <c r="F360" s="30"/>
      <c r="G360" s="50">
        <f>SUM(G348:G359)</f>
        <v>3367000</v>
      </c>
      <c r="H360" s="51">
        <f>SUM(H348:H359)</f>
        <v>30679.18</v>
      </c>
      <c r="I360" s="51" t="s">
        <v>26</v>
      </c>
      <c r="J360" s="49">
        <f>SUM(J348:J359)</f>
        <v>0</v>
      </c>
      <c r="K360" s="52">
        <f>SUM(K348:K359)</f>
        <v>70422.849999999991</v>
      </c>
      <c r="L360" s="31"/>
      <c r="M360" s="53">
        <f>SUM(M348:M359)</f>
        <v>5802</v>
      </c>
      <c r="N360" s="52">
        <f>SUM(N348:N359)</f>
        <v>53339.959999999992</v>
      </c>
    </row>
    <row r="361" spans="1:14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4" spans="1:14" x14ac:dyDescent="0.2">
      <c r="A364" s="11">
        <v>2025</v>
      </c>
      <c r="B364" s="10"/>
      <c r="C364" s="10"/>
      <c r="D364" s="10"/>
      <c r="E364" s="10"/>
      <c r="F364" s="10"/>
      <c r="G364" s="10"/>
      <c r="H364" s="12" t="s">
        <v>0</v>
      </c>
      <c r="I364" s="12" t="s">
        <v>1</v>
      </c>
      <c r="J364" s="10"/>
      <c r="K364" s="10"/>
      <c r="L364" s="10"/>
      <c r="M364" s="12" t="s">
        <v>2</v>
      </c>
      <c r="N364" s="10"/>
    </row>
    <row r="365" spans="1:14" x14ac:dyDescent="0.2">
      <c r="A365" s="95" t="s">
        <v>3</v>
      </c>
      <c r="B365" s="14" t="s">
        <v>4</v>
      </c>
      <c r="C365" s="14" t="s">
        <v>24</v>
      </c>
      <c r="D365" s="14" t="s">
        <v>6</v>
      </c>
      <c r="E365" s="37" t="s">
        <v>7</v>
      </c>
      <c r="F365" s="10"/>
      <c r="G365" s="16" t="s">
        <v>8</v>
      </c>
      <c r="H365" s="14" t="s">
        <v>6</v>
      </c>
      <c r="I365" s="14" t="s">
        <v>27</v>
      </c>
      <c r="J365" s="14" t="s">
        <v>9</v>
      </c>
      <c r="K365" s="14" t="s">
        <v>10</v>
      </c>
      <c r="L365" s="10"/>
      <c r="M365" s="14" t="s">
        <v>11</v>
      </c>
      <c r="N365" s="14" t="s">
        <v>6</v>
      </c>
    </row>
    <row r="366" spans="1:14" x14ac:dyDescent="0.2">
      <c r="A366" s="94" t="s">
        <v>12</v>
      </c>
      <c r="B366" s="81">
        <v>2025</v>
      </c>
      <c r="C366" s="82">
        <v>294676</v>
      </c>
      <c r="D366" s="97">
        <v>28091</v>
      </c>
      <c r="E366" s="81">
        <v>9.5327099999999998E-2</v>
      </c>
      <c r="F366" s="72"/>
      <c r="G366" s="88">
        <v>388000</v>
      </c>
      <c r="H366" s="102">
        <v>3345</v>
      </c>
      <c r="I366" s="89">
        <v>4362</v>
      </c>
      <c r="J366" s="108">
        <v>0</v>
      </c>
      <c r="K366" s="105">
        <v>7707</v>
      </c>
      <c r="L366" s="90"/>
      <c r="M366" s="88">
        <v>1209</v>
      </c>
      <c r="N366" s="102">
        <v>11896</v>
      </c>
    </row>
    <row r="367" spans="1:14" x14ac:dyDescent="0.2">
      <c r="A367" s="20" t="s">
        <v>13</v>
      </c>
      <c r="B367" s="70">
        <v>2025</v>
      </c>
      <c r="C367" s="71">
        <v>270221</v>
      </c>
      <c r="D367" s="98">
        <v>26348</v>
      </c>
      <c r="E367" s="70">
        <v>9.7505700000000001E-2</v>
      </c>
      <c r="F367" s="72"/>
      <c r="G367" s="73">
        <v>184000</v>
      </c>
      <c r="H367" s="103">
        <v>1687</v>
      </c>
      <c r="I367" s="74">
        <v>2218</v>
      </c>
      <c r="J367" s="109">
        <v>0</v>
      </c>
      <c r="K367" s="106">
        <v>3905</v>
      </c>
      <c r="L367" s="72"/>
      <c r="M367" s="75">
        <v>795</v>
      </c>
      <c r="N367" s="103">
        <v>7964</v>
      </c>
    </row>
    <row r="368" spans="1:14" x14ac:dyDescent="0.2">
      <c r="A368" s="94" t="s">
        <v>14</v>
      </c>
      <c r="B368" s="81">
        <v>2025</v>
      </c>
      <c r="C368" s="82">
        <v>276167</v>
      </c>
      <c r="D368" s="97">
        <v>26668</v>
      </c>
      <c r="E368" s="81">
        <v>9.6563099999999999E-2</v>
      </c>
      <c r="F368" s="72"/>
      <c r="G368" s="88">
        <v>232000</v>
      </c>
      <c r="H368" s="102">
        <v>2077</v>
      </c>
      <c r="I368" s="89">
        <v>2722</v>
      </c>
      <c r="J368" s="108">
        <v>0</v>
      </c>
      <c r="K368" s="105">
        <v>4799</v>
      </c>
      <c r="L368" s="90"/>
      <c r="M368" s="91">
        <v>546</v>
      </c>
      <c r="N368" s="102">
        <v>5601</v>
      </c>
    </row>
    <row r="369" spans="1:14" x14ac:dyDescent="0.2">
      <c r="A369" s="20" t="s">
        <v>15</v>
      </c>
      <c r="B369" s="70">
        <v>2025</v>
      </c>
      <c r="C369" s="71">
        <v>319858</v>
      </c>
      <c r="D369" s="98">
        <v>30024</v>
      </c>
      <c r="E369" s="70">
        <v>9.3866000000000005E-2</v>
      </c>
      <c r="F369" s="72"/>
      <c r="G369" s="73">
        <v>243000</v>
      </c>
      <c r="H369" s="103">
        <v>2251</v>
      </c>
      <c r="I369" s="74">
        <v>2927</v>
      </c>
      <c r="J369" s="109">
        <v>0</v>
      </c>
      <c r="K369" s="106">
        <v>5178</v>
      </c>
      <c r="L369" s="72"/>
      <c r="M369" s="75">
        <v>129</v>
      </c>
      <c r="N369" s="103">
        <v>1640</v>
      </c>
    </row>
    <row r="370" spans="1:14" x14ac:dyDescent="0.2">
      <c r="A370" s="94" t="s">
        <v>16</v>
      </c>
      <c r="B370" s="81">
        <v>2025</v>
      </c>
      <c r="C370" s="82">
        <v>314514</v>
      </c>
      <c r="D370" s="97">
        <v>30505</v>
      </c>
      <c r="E370" s="81">
        <v>9.6990599999999996E-2</v>
      </c>
      <c r="F370" s="72"/>
      <c r="G370" s="88">
        <v>324000</v>
      </c>
      <c r="H370" s="102">
        <v>3016</v>
      </c>
      <c r="I370" s="89">
        <v>3882</v>
      </c>
      <c r="J370" s="108">
        <v>0</v>
      </c>
      <c r="K370" s="105">
        <v>6899</v>
      </c>
      <c r="L370" s="90"/>
      <c r="M370" s="91">
        <v>48</v>
      </c>
      <c r="N370" s="102">
        <v>959</v>
      </c>
    </row>
    <row r="371" spans="1:14" x14ac:dyDescent="0.2">
      <c r="A371" s="20" t="s">
        <v>17</v>
      </c>
      <c r="B371" s="70">
        <v>2025</v>
      </c>
      <c r="C371" s="71">
        <v>318208</v>
      </c>
      <c r="D371" s="98">
        <v>30456</v>
      </c>
      <c r="E371" s="70">
        <v>9.5712099999999994E-2</v>
      </c>
      <c r="F371" s="72"/>
      <c r="G371" s="73">
        <v>384000</v>
      </c>
      <c r="H371" s="103">
        <v>3538</v>
      </c>
      <c r="I371" s="74">
        <v>4545</v>
      </c>
      <c r="J371" s="109">
        <v>0</v>
      </c>
      <c r="K371" s="106">
        <v>8083</v>
      </c>
      <c r="L371" s="72"/>
      <c r="M371" s="75">
        <v>41</v>
      </c>
      <c r="N371" s="103">
        <v>896</v>
      </c>
    </row>
    <row r="372" spans="1:14" x14ac:dyDescent="0.2">
      <c r="A372" s="94" t="s">
        <v>18</v>
      </c>
      <c r="B372" s="81">
        <v>2025</v>
      </c>
      <c r="C372" s="82">
        <v>335728</v>
      </c>
      <c r="D372" s="97">
        <v>31842</v>
      </c>
      <c r="E372" s="81">
        <v>9.4846E-2</v>
      </c>
      <c r="F372" s="72"/>
      <c r="G372" s="88">
        <v>550000</v>
      </c>
      <c r="H372" s="102">
        <v>4982</v>
      </c>
      <c r="I372" s="89">
        <v>6377</v>
      </c>
      <c r="J372" s="108">
        <v>1733</v>
      </c>
      <c r="K372" s="105">
        <v>9627</v>
      </c>
      <c r="L372" s="90"/>
      <c r="M372" s="91">
        <v>19</v>
      </c>
      <c r="N372" s="102">
        <v>692</v>
      </c>
    </row>
    <row r="373" spans="1:14" x14ac:dyDescent="0.2">
      <c r="A373" s="20" t="s">
        <v>19</v>
      </c>
      <c r="B373" s="70">
        <v>2025</v>
      </c>
      <c r="C373" s="71">
        <v>322292</v>
      </c>
      <c r="D373" s="98">
        <v>30705</v>
      </c>
      <c r="E373" s="70">
        <v>9.5269800000000002E-2</v>
      </c>
      <c r="F373" s="72"/>
      <c r="G373" s="73">
        <v>296000</v>
      </c>
      <c r="H373" s="103">
        <v>2773</v>
      </c>
      <c r="I373" s="74">
        <v>3573</v>
      </c>
      <c r="J373" s="109">
        <v>0</v>
      </c>
      <c r="K373" s="106">
        <v>6346</v>
      </c>
      <c r="L373" s="72"/>
      <c r="M373" s="75">
        <v>54</v>
      </c>
      <c r="N373" s="103">
        <v>1033</v>
      </c>
    </row>
    <row r="374" spans="1:14" x14ac:dyDescent="0.2">
      <c r="A374" s="94" t="s">
        <v>20</v>
      </c>
      <c r="B374" s="81">
        <v>2025</v>
      </c>
      <c r="C374" s="82">
        <v>291558</v>
      </c>
      <c r="D374" s="99">
        <v>28590</v>
      </c>
      <c r="E374" s="81">
        <v>9.8058300000000001E-2</v>
      </c>
      <c r="F374" s="72"/>
      <c r="G374" s="88">
        <v>748000</v>
      </c>
      <c r="H374" s="102">
        <v>6705</v>
      </c>
      <c r="I374" s="89">
        <v>8563</v>
      </c>
      <c r="J374" s="108">
        <v>0</v>
      </c>
      <c r="K374" s="105">
        <v>15268</v>
      </c>
      <c r="L374" s="90"/>
      <c r="M374" s="91">
        <v>22</v>
      </c>
      <c r="N374" s="102">
        <v>721</v>
      </c>
    </row>
    <row r="375" spans="1:14" x14ac:dyDescent="0.2">
      <c r="A375" s="20" t="s">
        <v>21</v>
      </c>
      <c r="B375" s="70">
        <v>2025</v>
      </c>
      <c r="C375" s="71">
        <v>261685</v>
      </c>
      <c r="D375" s="98">
        <v>25838</v>
      </c>
      <c r="E375" s="70">
        <v>9.8738800000000002E-2</v>
      </c>
      <c r="F375" s="72"/>
      <c r="G375" s="73">
        <v>340000</v>
      </c>
      <c r="H375" s="103">
        <v>3155</v>
      </c>
      <c r="I375" s="74">
        <v>4059</v>
      </c>
      <c r="J375" s="109">
        <v>0</v>
      </c>
      <c r="K375" s="106">
        <v>7214</v>
      </c>
      <c r="L375" s="72"/>
      <c r="M375" s="75">
        <v>86</v>
      </c>
      <c r="N375" s="103">
        <v>1346</v>
      </c>
    </row>
    <row r="376" spans="1:14" x14ac:dyDescent="0.2">
      <c r="A376" s="94" t="s">
        <v>22</v>
      </c>
      <c r="B376" s="81">
        <v>2025</v>
      </c>
      <c r="C376" s="82">
        <v>287601</v>
      </c>
      <c r="D376" s="97">
        <v>28474</v>
      </c>
      <c r="E376" s="81">
        <v>9.9003599999999997E-2</v>
      </c>
      <c r="F376" s="72"/>
      <c r="G376" s="88">
        <v>487000</v>
      </c>
      <c r="H376" s="102">
        <v>4487</v>
      </c>
      <c r="I376" s="89">
        <v>5682</v>
      </c>
      <c r="J376" s="108">
        <v>2186</v>
      </c>
      <c r="K376" s="105">
        <v>7983</v>
      </c>
      <c r="L376" s="90"/>
      <c r="M376" s="91">
        <v>304</v>
      </c>
      <c r="N376" s="102">
        <v>3474</v>
      </c>
    </row>
    <row r="377" spans="1:14" x14ac:dyDescent="0.2">
      <c r="A377" s="95" t="s">
        <v>23</v>
      </c>
      <c r="B377" s="77">
        <v>2025</v>
      </c>
      <c r="C377" s="78">
        <v>279658</v>
      </c>
      <c r="D377" s="100">
        <v>27213</v>
      </c>
      <c r="E377" s="76">
        <v>9.7308800000000001E-2</v>
      </c>
      <c r="F377" s="69"/>
      <c r="G377" s="73">
        <v>253000</v>
      </c>
      <c r="H377" s="103">
        <v>2451</v>
      </c>
      <c r="I377" s="74">
        <v>3099</v>
      </c>
      <c r="J377" s="109">
        <v>1524</v>
      </c>
      <c r="K377" s="106">
        <v>4026</v>
      </c>
      <c r="L377" s="69"/>
      <c r="M377" s="79">
        <v>692</v>
      </c>
      <c r="N377" s="111">
        <v>7258</v>
      </c>
    </row>
    <row r="378" spans="1:14" x14ac:dyDescent="0.2">
      <c r="A378" s="83"/>
      <c r="B378" s="83"/>
      <c r="C378" s="84">
        <v>3572166</v>
      </c>
      <c r="D378" s="101">
        <v>344753</v>
      </c>
      <c r="E378" s="96">
        <v>9.6511E-2</v>
      </c>
      <c r="F378" s="80"/>
      <c r="G378" s="86">
        <v>4429000</v>
      </c>
      <c r="H378" s="104">
        <v>40468</v>
      </c>
      <c r="I378" s="87">
        <v>52010</v>
      </c>
      <c r="J378" s="110">
        <v>5443</v>
      </c>
      <c r="K378" s="107">
        <v>87035</v>
      </c>
      <c r="L378" s="85"/>
      <c r="M378" s="86">
        <v>3945</v>
      </c>
      <c r="N378" s="112">
        <v>43480</v>
      </c>
    </row>
  </sheetData>
  <phoneticPr fontId="0" type="noConversion"/>
  <printOptions horizontalCentered="1"/>
  <pageMargins left="0.75" right="0.75" top="0.96" bottom="1" header="0.5" footer="0.5"/>
  <pageSetup scale="69" fitToHeight="19" orientation="landscape" r:id="rId1"/>
  <headerFooter alignWithMargins="0">
    <oddHeader>&amp;CHouse Bill 3693 (80R)
Report</oddHeader>
    <oddFooter>&amp;C&amp;P</oddFooter>
  </headerFooter>
  <rowBreaks count="6" manualBreakCount="6">
    <brk id="55" max="13" man="1"/>
    <brk id="109" max="13" man="1"/>
    <brk id="163" max="13" man="1"/>
    <brk id="217" max="13" man="1"/>
    <brk id="271" max="13" man="1"/>
    <brk id="325" max="13" man="1"/>
  </rowBreaks>
  <legacy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HCAD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Billy Garton</dc:creator>
  <cp:keywords/>
  <dc:description/>
  <cp:lastModifiedBy>Tracey Dang</cp:lastModifiedBy>
  <cp:revision/>
  <dcterms:created xsi:type="dcterms:W3CDTF">2008-01-29T22:10:09Z</dcterms:created>
  <dcterms:modified xsi:type="dcterms:W3CDTF">2026-01-27T20:11:26Z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